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185" tabRatio="938" firstSheet="1" activeTab="6"/>
  </bookViews>
  <sheets>
    <sheet name="ПЛ. б.э. Люб." sheetId="1" r:id="rId1"/>
    <sheet name="ПЛ. 1. софт СТАНДАРТ Люб." sheetId="2" r:id="rId2"/>
    <sheet name="Двоеборье Люб." sheetId="3" r:id="rId3"/>
    <sheet name="Двоеборье ПРО" sheetId="4" r:id="rId4"/>
    <sheet name="Тяга б.э. Люб." sheetId="5" r:id="rId5"/>
    <sheet name="Тяга б.э. ПРО" sheetId="6" r:id="rId6"/>
    <sheet name="Жим б.э. Люб." sheetId="7" r:id="rId7"/>
    <sheet name="Жим б.э. ПРО" sheetId="8" r:id="rId8"/>
    <sheet name="Жим 1 пет Люб." sheetId="9" r:id="rId9"/>
    <sheet name="Жим мн.пет софт Люб." sheetId="10" r:id="rId10"/>
    <sheet name="Военный жим ПРО" sheetId="11" r:id="rId11"/>
    <sheet name="Военный жим Люб." sheetId="12" r:id="rId12"/>
    <sheet name="НЖ 0,5 вес Люб." sheetId="13" r:id="rId13"/>
    <sheet name="НЖ 1 вес Люб." sheetId="14" r:id="rId14"/>
    <sheet name="РЖ 55 кг. Люб." sheetId="15" r:id="rId15"/>
    <sheet name="РЖ 75 кг. Люб." sheetId="16" r:id="rId16"/>
    <sheet name="РЖ 150 кг. Люб." sheetId="17" r:id="rId17"/>
    <sheet name="РЖ 100 кг. ПРО" sheetId="18" r:id="rId18"/>
    <sheet name="НЖ 1 вес ПРО" sheetId="19" r:id="rId19"/>
    <sheet name="РТ 55 кг. Люб." sheetId="20" r:id="rId20"/>
    <sheet name="РТ 100 кг. Люб." sheetId="21" r:id="rId21"/>
    <sheet name="РТ 200 кг. Люб." sheetId="22" r:id="rId22"/>
    <sheet name="РТ 200 кг. ПРО" sheetId="23" r:id="rId23"/>
    <sheet name="Бицепс Люб." sheetId="24" r:id="rId24"/>
    <sheet name="Бицепс ПРО" sheetId="25" r:id="rId25"/>
  </sheets>
  <definedNames/>
  <calcPr fullCalcOnLoad="1" refMode="R1C1"/>
</workbook>
</file>

<file path=xl/sharedStrings.xml><?xml version="1.0" encoding="utf-8"?>
<sst xmlns="http://schemas.openxmlformats.org/spreadsheetml/2006/main" count="2953" uniqueCount="838">
  <si>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</si>
  <si>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</si>
  <si>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</si>
  <si>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</si>
  <si>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</si>
  <si>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</si>
  <si>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</si>
  <si>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</si>
  <si>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</si>
  <si>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</si>
  <si>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</si>
  <si>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</si>
  <si>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</si>
  <si>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56</t>
  </si>
  <si>
    <t>Чабанная Юлия</t>
  </si>
  <si>
    <t>1. Чабанная Юлия</t>
  </si>
  <si>
    <t>Открытая (12.02.1986)/33</t>
  </si>
  <si>
    <t>55,30</t>
  </si>
  <si>
    <t xml:space="preserve">СК БОМОНД </t>
  </si>
  <si>
    <t xml:space="preserve">Новочеркасск/Ростовская область </t>
  </si>
  <si>
    <t>125,0</t>
  </si>
  <si>
    <t>135,0</t>
  </si>
  <si>
    <t>67,5</t>
  </si>
  <si>
    <t>70,0</t>
  </si>
  <si>
    <t>72,5</t>
  </si>
  <si>
    <t>140,0</t>
  </si>
  <si>
    <t>150,0</t>
  </si>
  <si>
    <t xml:space="preserve">Пахучий А. </t>
  </si>
  <si>
    <t>ВЕСОВАЯ КАТЕГОРИЯ   75</t>
  </si>
  <si>
    <t>Олейников Владимир</t>
  </si>
  <si>
    <t>1. Олейников Владимир</t>
  </si>
  <si>
    <t>Открытая (23.07.1987)/32</t>
  </si>
  <si>
    <t>72,30</t>
  </si>
  <si>
    <t xml:space="preserve">лично </t>
  </si>
  <si>
    <t xml:space="preserve">Кореновск/Краснодарский край </t>
  </si>
  <si>
    <t>185,0</t>
  </si>
  <si>
    <t>195,0</t>
  </si>
  <si>
    <t>200,0</t>
  </si>
  <si>
    <t>107,5</t>
  </si>
  <si>
    <t>112,5</t>
  </si>
  <si>
    <t>115,0</t>
  </si>
  <si>
    <t>215,0</t>
  </si>
  <si>
    <t>227,5</t>
  </si>
  <si>
    <t>232,5</t>
  </si>
  <si>
    <t xml:space="preserve">Самостоятельно </t>
  </si>
  <si>
    <t>ВЕСОВАЯ КАТЕГОРИЯ   82.5</t>
  </si>
  <si>
    <t>1. Кудрявцев Вадим</t>
  </si>
  <si>
    <t>Открытая (04.12.1987)/31</t>
  </si>
  <si>
    <t>81,30</t>
  </si>
  <si>
    <t xml:space="preserve">Ростов-на-Дону/Ростовская область </t>
  </si>
  <si>
    <t>192,5</t>
  </si>
  <si>
    <t>120,0</t>
  </si>
  <si>
    <t>122,5</t>
  </si>
  <si>
    <t>210,0</t>
  </si>
  <si>
    <t>220,0</t>
  </si>
  <si>
    <t>Андрюхин Денис</t>
  </si>
  <si>
    <t>2. Андрюхин Денис</t>
  </si>
  <si>
    <t>Открытая (16.10.2000)/19</t>
  </si>
  <si>
    <t>80,85</t>
  </si>
  <si>
    <t xml:space="preserve">RHINODON </t>
  </si>
  <si>
    <t>175,0</t>
  </si>
  <si>
    <t>180,0</t>
  </si>
  <si>
    <t>187,5</t>
  </si>
  <si>
    <t xml:space="preserve">Кобилинский Д. </t>
  </si>
  <si>
    <t>Лисицин Александр</t>
  </si>
  <si>
    <t>-. Лисицин Александр</t>
  </si>
  <si>
    <t>Открытая (20.03.1996)/23</t>
  </si>
  <si>
    <t>80,50</t>
  </si>
  <si>
    <t>ВЕСОВАЯ КАТЕГОРИЯ   100</t>
  </si>
  <si>
    <t>1. Малахов Сергей</t>
  </si>
  <si>
    <t>Открытая (17.01.1990)/29</t>
  </si>
  <si>
    <t>99,80</t>
  </si>
  <si>
    <t xml:space="preserve">ДГТУ </t>
  </si>
  <si>
    <t>240,0</t>
  </si>
  <si>
    <t>250,0</t>
  </si>
  <si>
    <t>260,0</t>
  </si>
  <si>
    <t>152,5</t>
  </si>
  <si>
    <t>242,5</t>
  </si>
  <si>
    <t xml:space="preserve">Осипов К.П.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</si>
  <si>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</si>
  <si>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</si>
  <si>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</si>
  <si>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</si>
  <si>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</si>
  <si>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</si>
  <si>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</si>
  <si>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</si>
  <si>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</si>
  <si>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</si>
  <si>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</si>
  <si>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</si>
  <si>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56</t>
  </si>
  <si>
    <t xml:space="preserve">Мужчины </t>
  </si>
  <si>
    <t>75</t>
  </si>
  <si>
    <t>100</t>
  </si>
  <si>
    <t>82.5</t>
  </si>
  <si>
    <t>ВЕСОВАЯ КАТЕГОРИЯ   52</t>
  </si>
  <si>
    <t>Козарь Юлия</t>
  </si>
  <si>
    <t>1. Козарь Юлия</t>
  </si>
  <si>
    <t>Открытая (23.01.1985)/34</t>
  </si>
  <si>
    <t>51,40</t>
  </si>
  <si>
    <t>90,0</t>
  </si>
  <si>
    <t>100,0</t>
  </si>
  <si>
    <t>105,0</t>
  </si>
  <si>
    <t>60,0</t>
  </si>
  <si>
    <t>65,0</t>
  </si>
  <si>
    <t>130,0</t>
  </si>
  <si>
    <t>Дуванская Дарья</t>
  </si>
  <si>
    <t>2. Дуванская Дарья</t>
  </si>
  <si>
    <t>Открытая (03.06.1997)/22</t>
  </si>
  <si>
    <t>51,20</t>
  </si>
  <si>
    <t>75,0</t>
  </si>
  <si>
    <t>77,5</t>
  </si>
  <si>
    <t>42,5</t>
  </si>
  <si>
    <t>45,0</t>
  </si>
  <si>
    <t>47,5</t>
  </si>
  <si>
    <t>102,5</t>
  </si>
  <si>
    <t>110,0</t>
  </si>
  <si>
    <t xml:space="preserve">Лебедькова Г. </t>
  </si>
  <si>
    <t>Евланова Лияна</t>
  </si>
  <si>
    <t>3. Евланова Лияна</t>
  </si>
  <si>
    <t>Открытая (29.07.1990)/29</t>
  </si>
  <si>
    <t>51,10</t>
  </si>
  <si>
    <t xml:space="preserve">MAGNUM </t>
  </si>
  <si>
    <t>95,0</t>
  </si>
  <si>
    <t>1. Лебедькова Галина</t>
  </si>
  <si>
    <t>Мастера 45 - 49 (20.03.1972)/47</t>
  </si>
  <si>
    <t>85,0</t>
  </si>
  <si>
    <t>87,5</t>
  </si>
  <si>
    <t>Александрова Светлана</t>
  </si>
  <si>
    <t>1. Александрова Светлана</t>
  </si>
  <si>
    <t>Открытая (16.01.1981)/38</t>
  </si>
  <si>
    <t>55,70</t>
  </si>
  <si>
    <t>92,5</t>
  </si>
  <si>
    <t>55,0</t>
  </si>
  <si>
    <t>62,5</t>
  </si>
  <si>
    <t>137,5</t>
  </si>
  <si>
    <t>142,5</t>
  </si>
  <si>
    <t>ВЕСОВАЯ КАТЕГОРИЯ   60</t>
  </si>
  <si>
    <t>Пахучая Оксана</t>
  </si>
  <si>
    <t>1. Пахучая Оксана</t>
  </si>
  <si>
    <t>Открытая (19.08.1978)/41</t>
  </si>
  <si>
    <t>58,10</t>
  </si>
  <si>
    <t>57,5</t>
  </si>
  <si>
    <t>145,0</t>
  </si>
  <si>
    <t>155,0</t>
  </si>
  <si>
    <t>160,0</t>
  </si>
  <si>
    <t>1. Максимов Евгений</t>
  </si>
  <si>
    <t>Юноши 0-13 (06.08.2006)/13</t>
  </si>
  <si>
    <t>47,30</t>
  </si>
  <si>
    <t>40,0</t>
  </si>
  <si>
    <t>50,0</t>
  </si>
  <si>
    <t>ВЕСОВАЯ КАТЕГОРИЯ   67.5</t>
  </si>
  <si>
    <t>1. Басанцов Дмитрий</t>
  </si>
  <si>
    <t>Юниоры 20 - 23 (11.08.1997)/22</t>
  </si>
  <si>
    <t>61,00</t>
  </si>
  <si>
    <t xml:space="preserve">АГУ </t>
  </si>
  <si>
    <t xml:space="preserve">Майкоп/Адыгея </t>
  </si>
  <si>
    <t>127,5</t>
  </si>
  <si>
    <t>165,0</t>
  </si>
  <si>
    <t xml:space="preserve">Манько И. </t>
  </si>
  <si>
    <t>1. Папенко Денис</t>
  </si>
  <si>
    <t>Юниоры 20 - 23 (07.04.1997)/22</t>
  </si>
  <si>
    <t>73,65</t>
  </si>
  <si>
    <t>170,0</t>
  </si>
  <si>
    <t>235,0</t>
  </si>
  <si>
    <t>ВЕСОВАЯ КАТЕГОРИЯ   110</t>
  </si>
  <si>
    <t>1. Хвощевский Игорь</t>
  </si>
  <si>
    <t>Мастера 50 - 54 (31.07.1967)/52</t>
  </si>
  <si>
    <t>104,00</t>
  </si>
  <si>
    <t>190,0</t>
  </si>
  <si>
    <t>60</t>
  </si>
  <si>
    <t>52</t>
  </si>
  <si>
    <t>67.5</t>
  </si>
  <si>
    <t>110</t>
  </si>
  <si>
    <t>1. Костыгова Елена</t>
  </si>
  <si>
    <t>Открытая (18.06.1980)/39</t>
  </si>
  <si>
    <t>81,60</t>
  </si>
  <si>
    <t xml:space="preserve">Перепелица В. </t>
  </si>
  <si>
    <t>Макаренко Никита</t>
  </si>
  <si>
    <t>1. Макаренко Никита</t>
  </si>
  <si>
    <t>Открытая (19.04.1996)/23</t>
  </si>
  <si>
    <t>67,45</t>
  </si>
  <si>
    <t xml:space="preserve">Каменск-Шахтинский/Ростовская область </t>
  </si>
  <si>
    <t>Лобанов Кирилл</t>
  </si>
  <si>
    <t>1. Лобанов Кирилл</t>
  </si>
  <si>
    <t>Открытая (04.01.1995)/24</t>
  </si>
  <si>
    <t>72,70</t>
  </si>
  <si>
    <t xml:space="preserve">Gorilla Team </t>
  </si>
  <si>
    <t xml:space="preserve">Дуравкин Е. </t>
  </si>
  <si>
    <t>1. Иващенко Владимир</t>
  </si>
  <si>
    <t>Мастера 55 - 59 (26.01.1961)/58</t>
  </si>
  <si>
    <t>74,20</t>
  </si>
  <si>
    <t xml:space="preserve">ВДВ Шахты </t>
  </si>
  <si>
    <t xml:space="preserve">Шахты/Ростовская область </t>
  </si>
  <si>
    <t xml:space="preserve">Ичетовкин С. </t>
  </si>
  <si>
    <t>Дуравкин Евгений</t>
  </si>
  <si>
    <t>1. Дуравкин Евгений</t>
  </si>
  <si>
    <t>Открытая (10.08.1980)/39</t>
  </si>
  <si>
    <t>80,65</t>
  </si>
  <si>
    <t>Корытник Иван</t>
  </si>
  <si>
    <t>2. Корытник Иван</t>
  </si>
  <si>
    <t>Открытая (05.03.1980)/39</t>
  </si>
  <si>
    <t>81,20</t>
  </si>
  <si>
    <t xml:space="preserve">Георгиевск/Ставропольский край </t>
  </si>
  <si>
    <t>ВЕСОВАЯ КАТЕГОРИЯ   90</t>
  </si>
  <si>
    <t>Гаранин Олег</t>
  </si>
  <si>
    <t>1. Гаранин Олег</t>
  </si>
  <si>
    <t>Открытая (09.04.1993)/26</t>
  </si>
  <si>
    <t>89,15</t>
  </si>
  <si>
    <t>Обушинский Олег</t>
  </si>
  <si>
    <t>2. Обушинский Олег</t>
  </si>
  <si>
    <t>Открытая (26.04.1987)/32</t>
  </si>
  <si>
    <t>89,95</t>
  </si>
  <si>
    <t>1. Хаутиев Башир</t>
  </si>
  <si>
    <t>Юниоры 20 - 23 (19.08.1999)/20</t>
  </si>
  <si>
    <t>91,00</t>
  </si>
  <si>
    <t xml:space="preserve">Легион Карца </t>
  </si>
  <si>
    <t xml:space="preserve">Назрань/Ингушетия </t>
  </si>
  <si>
    <t>Морозов Артем</t>
  </si>
  <si>
    <t>1. Морозов Артем</t>
  </si>
  <si>
    <t>Открытая (03.04.1992)/27</t>
  </si>
  <si>
    <t>93,20</t>
  </si>
  <si>
    <t xml:space="preserve">Миллерово/Ростовская область </t>
  </si>
  <si>
    <t>Хорошаев Денис</t>
  </si>
  <si>
    <t>2. Хорошаев Денис</t>
  </si>
  <si>
    <t>Открытая (28.11.1984)/34</t>
  </si>
  <si>
    <t>97,15</t>
  </si>
  <si>
    <t>132,5</t>
  </si>
  <si>
    <t>Аккуратов Александр</t>
  </si>
  <si>
    <t>3. Аккуратов Александр</t>
  </si>
  <si>
    <t>Открытая (21.02.1989)/30</t>
  </si>
  <si>
    <t>92,25</t>
  </si>
  <si>
    <t>Дьячков Руслан</t>
  </si>
  <si>
    <t>1. Дьячков Руслан</t>
  </si>
  <si>
    <t>Открытая (01.05.1994)/25</t>
  </si>
  <si>
    <t>108,95</t>
  </si>
  <si>
    <t>ВЕСОВАЯ КАТЕГОРИЯ   125</t>
  </si>
  <si>
    <t>Арслангереев Джапар</t>
  </si>
  <si>
    <t>1. Арслангереев Джапар</t>
  </si>
  <si>
    <t>Открытая (31.08.1986)/33</t>
  </si>
  <si>
    <t>116,80</t>
  </si>
  <si>
    <t>1. Хорошаев Геннадий</t>
  </si>
  <si>
    <t>Мастера 55 - 59 (07.03.1963)/56</t>
  </si>
  <si>
    <t>117,00</t>
  </si>
  <si>
    <t>147,5</t>
  </si>
  <si>
    <t>125</t>
  </si>
  <si>
    <t>95,3640</t>
  </si>
  <si>
    <t>88,5560</t>
  </si>
  <si>
    <t>87,1560</t>
  </si>
  <si>
    <t>86,0550</t>
  </si>
  <si>
    <t>83,3513</t>
  </si>
  <si>
    <t>78,6562</t>
  </si>
  <si>
    <t>75,1440</t>
  </si>
  <si>
    <t>90</t>
  </si>
  <si>
    <t>73,5875</t>
  </si>
  <si>
    <t>70,2600</t>
  </si>
  <si>
    <t>70,1813</t>
  </si>
  <si>
    <t>66,3550</t>
  </si>
  <si>
    <t>Результат</t>
  </si>
  <si>
    <t>1. Ичетовкин Сергей</t>
  </si>
  <si>
    <t>Открытая (10.09.1980)/39</t>
  </si>
  <si>
    <t>99,95</t>
  </si>
  <si>
    <t>162,5</t>
  </si>
  <si>
    <t>1. Сидоренко Елена</t>
  </si>
  <si>
    <t>Открытая (06.05.1995)/24</t>
  </si>
  <si>
    <t>51,70</t>
  </si>
  <si>
    <t xml:space="preserve">СК Ахиллес </t>
  </si>
  <si>
    <t xml:space="preserve">Зверево/Ростовская область </t>
  </si>
  <si>
    <t xml:space="preserve">Ляпичев Е. </t>
  </si>
  <si>
    <t>1. Манько Юлия</t>
  </si>
  <si>
    <t>Девушки 14-15 (16.12.2004)/14</t>
  </si>
  <si>
    <t>53,00</t>
  </si>
  <si>
    <t>30,0</t>
  </si>
  <si>
    <t>35,0</t>
  </si>
  <si>
    <t>37,5</t>
  </si>
  <si>
    <t>1. Овакимян Майя</t>
  </si>
  <si>
    <t>Мастера 50 - 54 (20.09.1968)/51</t>
  </si>
  <si>
    <t>59,00</t>
  </si>
  <si>
    <t>80,0</t>
  </si>
  <si>
    <t>1. Ичетовкин Леонид</t>
  </si>
  <si>
    <t>Юноши 0-13 (28.06.2010)/9</t>
  </si>
  <si>
    <t>43,45</t>
  </si>
  <si>
    <t>20,0</t>
  </si>
  <si>
    <t>25,0</t>
  </si>
  <si>
    <t>27,5</t>
  </si>
  <si>
    <t>1. Ичетовкин Михаил</t>
  </si>
  <si>
    <t>Юноши 14-15 (22.09.2004)/15</t>
  </si>
  <si>
    <t>51,00</t>
  </si>
  <si>
    <t>52,5</t>
  </si>
  <si>
    <t>1. Алиев Руслан</t>
  </si>
  <si>
    <t>Юноши 0-13 (06.09.2006)/13</t>
  </si>
  <si>
    <t>66,50</t>
  </si>
  <si>
    <t xml:space="preserve">Губин Е. </t>
  </si>
  <si>
    <t>1. Черненко Максим</t>
  </si>
  <si>
    <t>Юноши 14-15 (19.03.2004)/15</t>
  </si>
  <si>
    <t>64,15</t>
  </si>
  <si>
    <t xml:space="preserve">КВАНТ-АТЛЕТ </t>
  </si>
  <si>
    <t xml:space="preserve">Евсюков, Сайков </t>
  </si>
  <si>
    <t>1. Чернышов Юрий</t>
  </si>
  <si>
    <t>Юниоры 20 - 23 (23.02.1998)/21</t>
  </si>
  <si>
    <t>72,90</t>
  </si>
  <si>
    <t xml:space="preserve">Морозов А. </t>
  </si>
  <si>
    <t>Симбирский Евгений</t>
  </si>
  <si>
    <t>1. Симбирский Евгений</t>
  </si>
  <si>
    <t>Открытая (13.01.1988)/31</t>
  </si>
  <si>
    <t>74,70</t>
  </si>
  <si>
    <t>Ирхин Алексей</t>
  </si>
  <si>
    <t>2. Ирхин Алексей</t>
  </si>
  <si>
    <t>Открытая (08.02.1989)/30</t>
  </si>
  <si>
    <t>Александров Дмитрий</t>
  </si>
  <si>
    <t>3. Александров Дмитрий</t>
  </si>
  <si>
    <t>Открытая (11.05.1994)/25</t>
  </si>
  <si>
    <t>71,90</t>
  </si>
  <si>
    <t>1. Вотченко Александр</t>
  </si>
  <si>
    <t>Юниоры 20 - 23 (09.01.1996)/23</t>
  </si>
  <si>
    <t>79,35</t>
  </si>
  <si>
    <t xml:space="preserve">Краснодар/Краснодарский край </t>
  </si>
  <si>
    <t xml:space="preserve">Гавриленко Р. </t>
  </si>
  <si>
    <t>Самойличенко Виталий</t>
  </si>
  <si>
    <t>1. Самойличенко Виталий</t>
  </si>
  <si>
    <t>Открытая (04.05.1975)/44</t>
  </si>
  <si>
    <t>79,70</t>
  </si>
  <si>
    <t xml:space="preserve">Миколаенко С. </t>
  </si>
  <si>
    <t>Шамоев Давид</t>
  </si>
  <si>
    <t>2. Шамоев Давид</t>
  </si>
  <si>
    <t>Открытая (28.06.1982)/37</t>
  </si>
  <si>
    <t>81,90</t>
  </si>
  <si>
    <t xml:space="preserve">Москва </t>
  </si>
  <si>
    <t>-. Головин Кирилл</t>
  </si>
  <si>
    <t>Открытая (13.10.1996)/23</t>
  </si>
  <si>
    <t>81,00</t>
  </si>
  <si>
    <t>Борисов Дмитрий</t>
  </si>
  <si>
    <t>1. Борисов Дмитрий</t>
  </si>
  <si>
    <t>Открытая (22.05.1982)/37</t>
  </si>
  <si>
    <t>89,90</t>
  </si>
  <si>
    <t>177,5</t>
  </si>
  <si>
    <t>Садчиков Александр</t>
  </si>
  <si>
    <t>2. Садчиков Александр</t>
  </si>
  <si>
    <t>Открытая (28.10.1991)/28</t>
  </si>
  <si>
    <t>88,50</t>
  </si>
  <si>
    <t xml:space="preserve">Семикаракорск/Ростовская область </t>
  </si>
  <si>
    <t>Потапенко Валерий</t>
  </si>
  <si>
    <t>3. Потапенко Валерий</t>
  </si>
  <si>
    <t>Открытая (31.05.1983)/36</t>
  </si>
  <si>
    <t>89,20</t>
  </si>
  <si>
    <t xml:space="preserve">СКУЛЬПТОР </t>
  </si>
  <si>
    <t xml:space="preserve">Таганрог/Ростовская область </t>
  </si>
  <si>
    <t xml:space="preserve">Романов А. </t>
  </si>
  <si>
    <t>Прищепа Юрий</t>
  </si>
  <si>
    <t>4. Прищепа Юрий</t>
  </si>
  <si>
    <t>Открытая (30.07.1985)/34</t>
  </si>
  <si>
    <t>85,60</t>
  </si>
  <si>
    <t xml:space="preserve">Гулькевичи/Краснодарский край </t>
  </si>
  <si>
    <t xml:space="preserve">Приходько А. </t>
  </si>
  <si>
    <t>-. Гиль Евгений</t>
  </si>
  <si>
    <t>Открытая (29.07.1993)/26</t>
  </si>
  <si>
    <t>89,00</t>
  </si>
  <si>
    <t xml:space="preserve">FITRON </t>
  </si>
  <si>
    <t>1. Невенченко Евгений</t>
  </si>
  <si>
    <t>Мастера 45 - 49 (17.06.1974)/45</t>
  </si>
  <si>
    <t>86,20</t>
  </si>
  <si>
    <t>1. Хорошаев Денис</t>
  </si>
  <si>
    <t>Устинкин Вадим</t>
  </si>
  <si>
    <t>2. Устинкин Вадим</t>
  </si>
  <si>
    <t>Открытая (02.08.1993)/26</t>
  </si>
  <si>
    <t>91,40</t>
  </si>
  <si>
    <t>117,5</t>
  </si>
  <si>
    <t>1. Осипов Сергей</t>
  </si>
  <si>
    <t>Юниоры 20 - 23 (20.11.1995)/23</t>
  </si>
  <si>
    <t>109,55</t>
  </si>
  <si>
    <t xml:space="preserve">Александров Д. </t>
  </si>
  <si>
    <t>Красноштан Роман</t>
  </si>
  <si>
    <t>1. Красноштан Роман</t>
  </si>
  <si>
    <t>Открытая (02.04.1989)/30</t>
  </si>
  <si>
    <t>107,75</t>
  </si>
  <si>
    <t>167,5</t>
  </si>
  <si>
    <t xml:space="preserve">Осауленко А. </t>
  </si>
  <si>
    <t>Гриневич Евгений</t>
  </si>
  <si>
    <t>2. Гриневич Евгений</t>
  </si>
  <si>
    <t>Открытая (02.08.1989)/30</t>
  </si>
  <si>
    <t>107,70</t>
  </si>
  <si>
    <t xml:space="preserve">Варданян Д. </t>
  </si>
  <si>
    <t>Изюмов Андрей</t>
  </si>
  <si>
    <t>Открытая (16.09.1991)/28</t>
  </si>
  <si>
    <t>123,3210</t>
  </si>
  <si>
    <t>107,8990</t>
  </si>
  <si>
    <t>103,9617</t>
  </si>
  <si>
    <t>99,5840</t>
  </si>
  <si>
    <t>91,6670</t>
  </si>
  <si>
    <t>91,2175</t>
  </si>
  <si>
    <t>86,6580</t>
  </si>
  <si>
    <t>86,3040</t>
  </si>
  <si>
    <t>85,9250</t>
  </si>
  <si>
    <t>84,5740</t>
  </si>
  <si>
    <t>79,5762</t>
  </si>
  <si>
    <t>79,3181</t>
  </si>
  <si>
    <t>68,1617</t>
  </si>
  <si>
    <t>1. Мальцева Любовь</t>
  </si>
  <si>
    <t>Открытая (05.04.1976)/43</t>
  </si>
  <si>
    <t>67,00</t>
  </si>
  <si>
    <t xml:space="preserve">Волгоград/Волгоградская область </t>
  </si>
  <si>
    <t>Мастера 40 - 44 (05.04.1976)/43</t>
  </si>
  <si>
    <t>-. Чемериский Андрей</t>
  </si>
  <si>
    <t>Мастера 40 - 44 (13.04.1979)/40</t>
  </si>
  <si>
    <t>83,45</t>
  </si>
  <si>
    <t>2. Ельджаров Рамиль</t>
  </si>
  <si>
    <t>Открытая (07.12.1990)/28</t>
  </si>
  <si>
    <t>94,00</t>
  </si>
  <si>
    <t xml:space="preserve">Владикавказ/Северная Осетия - Алания </t>
  </si>
  <si>
    <t>1. Дубенко Родион</t>
  </si>
  <si>
    <t>Открытая (02.01.1989)/30</t>
  </si>
  <si>
    <t>102,90</t>
  </si>
  <si>
    <t>230,0</t>
  </si>
  <si>
    <t>1. Гамзабеков Саид</t>
  </si>
  <si>
    <t>Открытая (15.10.1991)/28</t>
  </si>
  <si>
    <t>115,00</t>
  </si>
  <si>
    <t>Дорохов Евгений</t>
  </si>
  <si>
    <t>1. Дорохов Евгений</t>
  </si>
  <si>
    <t>Открытая (17.09.1985)/34</t>
  </si>
  <si>
    <t>82,40</t>
  </si>
  <si>
    <t>202,5</t>
  </si>
  <si>
    <t>Осауленко Аркадий</t>
  </si>
  <si>
    <t>1. Осауленко Аркадий</t>
  </si>
  <si>
    <t>Открытая (30.04.1987)/32</t>
  </si>
  <si>
    <t>89,10</t>
  </si>
  <si>
    <t>207,5</t>
  </si>
  <si>
    <t>217,5</t>
  </si>
  <si>
    <t>2. Потапенко Валерий</t>
  </si>
  <si>
    <t>Семенцов Александр</t>
  </si>
  <si>
    <t>3. Семенцов Александр</t>
  </si>
  <si>
    <t>Открытая (26.06.1984)/35</t>
  </si>
  <si>
    <t>Щеколкин Антон</t>
  </si>
  <si>
    <t>1. Щеколкин Антон</t>
  </si>
  <si>
    <t>Открытая (26.05.1995)/24</t>
  </si>
  <si>
    <t>99,70</t>
  </si>
  <si>
    <t>225,0</t>
  </si>
  <si>
    <t>ВЕСОВАЯ КАТЕГОРИЯ   140</t>
  </si>
  <si>
    <t>Устименко Андрей</t>
  </si>
  <si>
    <t>1. Устименко Андрей</t>
  </si>
  <si>
    <t>Открытая (27.03.1977)/42</t>
  </si>
  <si>
    <t>128,25</t>
  </si>
  <si>
    <t xml:space="preserve">TEXAS </t>
  </si>
  <si>
    <t>124,8300</t>
  </si>
  <si>
    <t>122,1968</t>
  </si>
  <si>
    <t>117,7620</t>
  </si>
  <si>
    <t>110,3438</t>
  </si>
  <si>
    <t>109,5850</t>
  </si>
  <si>
    <t>102,9875</t>
  </si>
  <si>
    <t>140</t>
  </si>
  <si>
    <t>98,2490</t>
  </si>
  <si>
    <t>ВЕСОВАЯ КАТЕГОРИЯ   48</t>
  </si>
  <si>
    <t>Овсянникова Оксана</t>
  </si>
  <si>
    <t>1. Овсянникова Оксана</t>
  </si>
  <si>
    <t>Открытая (13.07.1986)/33</t>
  </si>
  <si>
    <t>47,90</t>
  </si>
  <si>
    <t>Романова Галина</t>
  </si>
  <si>
    <t>2. Романова Галина</t>
  </si>
  <si>
    <t>Открытая (07.07.1980)/39</t>
  </si>
  <si>
    <t>46,50</t>
  </si>
  <si>
    <t>Вишнякова Марина</t>
  </si>
  <si>
    <t>2. Вишнякова Марина</t>
  </si>
  <si>
    <t>Открытая (02.01.1980)/39</t>
  </si>
  <si>
    <t>52,00</t>
  </si>
  <si>
    <t>3. Дуванская Дарья</t>
  </si>
  <si>
    <t>4. Евланова Лияна</t>
  </si>
  <si>
    <t>2. Чабанная Юлия</t>
  </si>
  <si>
    <t>1. Полякова Марина</t>
  </si>
  <si>
    <t>Мастера 40 - 44 (28.10.1976)/43</t>
  </si>
  <si>
    <t>55,00</t>
  </si>
  <si>
    <t xml:space="preserve">Цимлянск/Ростовская область </t>
  </si>
  <si>
    <t xml:space="preserve">Исаев А. </t>
  </si>
  <si>
    <t>-. Батурина Анастасия</t>
  </si>
  <si>
    <t>Открытая (20.02.1982)/37</t>
  </si>
  <si>
    <t>59,40</t>
  </si>
  <si>
    <t xml:space="preserve">Sport Life </t>
  </si>
  <si>
    <t xml:space="preserve">Руденко Е. </t>
  </si>
  <si>
    <t>Руденко Елена</t>
  </si>
  <si>
    <t>1. Руденко Елена</t>
  </si>
  <si>
    <t>Открытая (19.05.1970)/49</t>
  </si>
  <si>
    <t xml:space="preserve">Котов П. </t>
  </si>
  <si>
    <t>Мастера 45 - 49 (19.05.1970)/49</t>
  </si>
  <si>
    <t>Хамхоев Омар</t>
  </si>
  <si>
    <t>2. Хамхоев Омар</t>
  </si>
  <si>
    <t>Открытая (21.09.1990)/29</t>
  </si>
  <si>
    <t>74,65</t>
  </si>
  <si>
    <t>205,0</t>
  </si>
  <si>
    <t xml:space="preserve">Цуров Р. </t>
  </si>
  <si>
    <t>1. Алампиев Сергей</t>
  </si>
  <si>
    <t>Мастера 60 - 64 (07.04.1957)/62</t>
  </si>
  <si>
    <t>69,00</t>
  </si>
  <si>
    <t xml:space="preserve">Апатиты/Мурманская область </t>
  </si>
  <si>
    <t>1. Максимов Никита</t>
  </si>
  <si>
    <t>Юноши 16 - 17 (18.05.2002)/17</t>
  </si>
  <si>
    <t>82,00</t>
  </si>
  <si>
    <t>1. Костюхин Ростислав</t>
  </si>
  <si>
    <t>Юниоры 20 - 23 (21.12.1997)/21</t>
  </si>
  <si>
    <t>79,00</t>
  </si>
  <si>
    <t>2. Волобуев Сергей</t>
  </si>
  <si>
    <t>Юниоры 20 - 23 (13.08.1999)/20</t>
  </si>
  <si>
    <t>79,45</t>
  </si>
  <si>
    <t>1. Лисицин Александр</t>
  </si>
  <si>
    <t>182,5</t>
  </si>
  <si>
    <t>Силаев Владимир</t>
  </si>
  <si>
    <t>3. Силаев Владимир</t>
  </si>
  <si>
    <t>Открытая (03.04.1991)/28</t>
  </si>
  <si>
    <t>80,95</t>
  </si>
  <si>
    <t>Гуревич Александр</t>
  </si>
  <si>
    <t>4. Гуревич Александр</t>
  </si>
  <si>
    <t>Открытая (15.03.1991)/28</t>
  </si>
  <si>
    <t>1. Бочаров Артем</t>
  </si>
  <si>
    <t>Юноши 18 - 19 (10.06.2000)/19</t>
  </si>
  <si>
    <t>88,30</t>
  </si>
  <si>
    <t>1. Мироненко Максим</t>
  </si>
  <si>
    <t>Юниоры 20 - 23 (01.03.1996)/23</t>
  </si>
  <si>
    <t>88,80</t>
  </si>
  <si>
    <t>Кинякин Андрей</t>
  </si>
  <si>
    <t>1. Кинякин Андрей</t>
  </si>
  <si>
    <t>Открытая (07.06.1986)/33</t>
  </si>
  <si>
    <t>1. Манько Иван</t>
  </si>
  <si>
    <t>Мастера 40 - 44 (16.03.1977)/42</t>
  </si>
  <si>
    <t>89,35</t>
  </si>
  <si>
    <t>Антонов Андрей</t>
  </si>
  <si>
    <t>1. Антонов Андрей</t>
  </si>
  <si>
    <t>Открытая (29.10.1982)/37</t>
  </si>
  <si>
    <t>97,70</t>
  </si>
  <si>
    <t>Никитин Вячеслав</t>
  </si>
  <si>
    <t>1. Никитин Вячеслав</t>
  </si>
  <si>
    <t>Открытая (27.01.1995)/24</t>
  </si>
  <si>
    <t>102,50</t>
  </si>
  <si>
    <t xml:space="preserve">Чалтырь/Ростовская область </t>
  </si>
  <si>
    <t>1. Ганжела Игорь</t>
  </si>
  <si>
    <t>Мастера 45 - 49 (16.01.1970)/49</t>
  </si>
  <si>
    <t>107,30</t>
  </si>
  <si>
    <t xml:space="preserve">Соколов С. </t>
  </si>
  <si>
    <t>141,5120</t>
  </si>
  <si>
    <t>133,1070</t>
  </si>
  <si>
    <t>130,5300</t>
  </si>
  <si>
    <t>129,0100</t>
  </si>
  <si>
    <t>122,3188</t>
  </si>
  <si>
    <t>48</t>
  </si>
  <si>
    <t>113,9765</t>
  </si>
  <si>
    <t>113,8986</t>
  </si>
  <si>
    <t>107,9870</t>
  </si>
  <si>
    <t>95,5035</t>
  </si>
  <si>
    <t>93,4088</t>
  </si>
  <si>
    <t>155,6783</t>
  </si>
  <si>
    <t>143,3942</t>
  </si>
  <si>
    <t>128,7770</t>
  </si>
  <si>
    <t>120,6700</t>
  </si>
  <si>
    <t>118,1438</t>
  </si>
  <si>
    <t>117,7781</t>
  </si>
  <si>
    <t>112,9680</t>
  </si>
  <si>
    <t>111,3175</t>
  </si>
  <si>
    <t>96,6075</t>
  </si>
  <si>
    <t>1. Соловьев Александр</t>
  </si>
  <si>
    <t>Открытая (04.11.1968)/51</t>
  </si>
  <si>
    <t>82,20</t>
  </si>
  <si>
    <t>222,5</t>
  </si>
  <si>
    <t>1. Омельченко Александр</t>
  </si>
  <si>
    <t>Открытая (06.07.1986)/33</t>
  </si>
  <si>
    <t>89,40</t>
  </si>
  <si>
    <t>Открытая (20.03.1972)/47</t>
  </si>
  <si>
    <t>1. Кичаева Галина</t>
  </si>
  <si>
    <t>Открытая (25.09.1990)/29</t>
  </si>
  <si>
    <t>58,90</t>
  </si>
  <si>
    <t>2. Васина Наталья</t>
  </si>
  <si>
    <t>Открытая (21.12.1974)/44</t>
  </si>
  <si>
    <t>58,20</t>
  </si>
  <si>
    <t>1. Цуров Руслан</t>
  </si>
  <si>
    <t>Открытая (10.10.1988)/31</t>
  </si>
  <si>
    <t>85,00</t>
  </si>
  <si>
    <t>Мастера 50 - 54 (04.11.1968)/51</t>
  </si>
  <si>
    <t>НАП Н.Ж.</t>
  </si>
  <si>
    <t>Народный жим</t>
  </si>
  <si>
    <t>1. Александров Дмитрий</t>
  </si>
  <si>
    <t>27,0</t>
  </si>
  <si>
    <t>1. Шамоев Давид</t>
  </si>
  <si>
    <t>82,5</t>
  </si>
  <si>
    <t>33,0</t>
  </si>
  <si>
    <t>1. Гиль Евгений</t>
  </si>
  <si>
    <t>21,0</t>
  </si>
  <si>
    <t>1. Аккуратов Александр</t>
  </si>
  <si>
    <t>13,0</t>
  </si>
  <si>
    <t>16,0</t>
  </si>
  <si>
    <t>Вес</t>
  </si>
  <si>
    <t>Повторы</t>
  </si>
  <si>
    <t>Тоннаж</t>
  </si>
  <si>
    <t>24,0</t>
  </si>
  <si>
    <t>43,50</t>
  </si>
  <si>
    <t>22,5</t>
  </si>
  <si>
    <t>47,0</t>
  </si>
  <si>
    <t>1. Музыченко Павел</t>
  </si>
  <si>
    <t>Открытая (30.05.1980)/39</t>
  </si>
  <si>
    <t>79,60</t>
  </si>
  <si>
    <t>39,0</t>
  </si>
  <si>
    <t>1. Ельджаров Рамиль</t>
  </si>
  <si>
    <t>41,0</t>
  </si>
  <si>
    <t>2. Ичетовкин Сергей</t>
  </si>
  <si>
    <t>100,00</t>
  </si>
  <si>
    <t>29,0</t>
  </si>
  <si>
    <t>Атлетизм</t>
  </si>
  <si>
    <t>Русский жим</t>
  </si>
  <si>
    <t>ВЕСОВАЯ КАТЕГОРИЯ   All</t>
  </si>
  <si>
    <t>1. Козлов Александр</t>
  </si>
  <si>
    <t>Открытая (11.10.1989)/30</t>
  </si>
  <si>
    <t>114,30</t>
  </si>
  <si>
    <t>38,0</t>
  </si>
  <si>
    <t xml:space="preserve">Атлетизм </t>
  </si>
  <si>
    <t>All</t>
  </si>
  <si>
    <t>1. Жарков Вадим</t>
  </si>
  <si>
    <t>Юноши 18 - 19 (29.05.2001)/18</t>
  </si>
  <si>
    <t>71,80</t>
  </si>
  <si>
    <t>36,0</t>
  </si>
  <si>
    <t xml:space="preserve">Мирзоев А. </t>
  </si>
  <si>
    <t>Кобилинский Демьян</t>
  </si>
  <si>
    <t>1. Кобилинский Демьян</t>
  </si>
  <si>
    <t>Открытая (12.03.1991)/28</t>
  </si>
  <si>
    <t>92,50</t>
  </si>
  <si>
    <t>Живоглядов Евгений</t>
  </si>
  <si>
    <t>2. Живоглядов Евгений</t>
  </si>
  <si>
    <t>Открытая (06.07.1989)/30</t>
  </si>
  <si>
    <t>91,35</t>
  </si>
  <si>
    <t>74,0</t>
  </si>
  <si>
    <t>Ляпичев Евгений</t>
  </si>
  <si>
    <t>3. Ляпичев Евгений</t>
  </si>
  <si>
    <t>Открытая (23.12.1984)/34</t>
  </si>
  <si>
    <t>95,20</t>
  </si>
  <si>
    <t>73,0</t>
  </si>
  <si>
    <t>Пустенко Николай</t>
  </si>
  <si>
    <t>4. Пустенко Николай</t>
  </si>
  <si>
    <t>Открытая (06.11.1991)/28</t>
  </si>
  <si>
    <t>58,0</t>
  </si>
  <si>
    <t>5. Ирхин Алексей</t>
  </si>
  <si>
    <t>57,0</t>
  </si>
  <si>
    <t>6. Дорохов Евгений</t>
  </si>
  <si>
    <t>7. Корытник Иван</t>
  </si>
  <si>
    <t>48,0</t>
  </si>
  <si>
    <t>Семенченко Константин</t>
  </si>
  <si>
    <t>8. Семенченко Константин</t>
  </si>
  <si>
    <t>Открытая (31.12.1980)/38</t>
  </si>
  <si>
    <t>Сайков Виктор</t>
  </si>
  <si>
    <t>9. Сайков Виктор</t>
  </si>
  <si>
    <t>Открытая (23.08.1995)/24</t>
  </si>
  <si>
    <t>74,60</t>
  </si>
  <si>
    <t>69,0</t>
  </si>
  <si>
    <t>2. Иващенко Владимир</t>
  </si>
  <si>
    <t>4125,0</t>
  </si>
  <si>
    <t>44,5945</t>
  </si>
  <si>
    <t>4070,0</t>
  </si>
  <si>
    <t>44,5539</t>
  </si>
  <si>
    <t>4015,0</t>
  </si>
  <si>
    <t>42,1743</t>
  </si>
  <si>
    <t>3135,0</t>
  </si>
  <si>
    <t>41,9678</t>
  </si>
  <si>
    <t>3190,0</t>
  </si>
  <si>
    <t>34,5799</t>
  </si>
  <si>
    <t>2750,0</t>
  </si>
  <si>
    <t>33,3737</t>
  </si>
  <si>
    <t>2640,0</t>
  </si>
  <si>
    <t>32,5123</t>
  </si>
  <si>
    <t>2585,0</t>
  </si>
  <si>
    <t>31,3713</t>
  </si>
  <si>
    <t>2090,0</t>
  </si>
  <si>
    <t>28,0160</t>
  </si>
  <si>
    <t>37,0</t>
  </si>
  <si>
    <t>2. Гаранин Олег</t>
  </si>
  <si>
    <t>3. Обушинский Олег</t>
  </si>
  <si>
    <t>26,0</t>
  </si>
  <si>
    <t>4. Аккуратов Александр</t>
  </si>
  <si>
    <t>22,0</t>
  </si>
  <si>
    <t>1. Никитин Георгий</t>
  </si>
  <si>
    <t>Открытая (24.05.1991)/28</t>
  </si>
  <si>
    <t>10,0</t>
  </si>
  <si>
    <t>Русская становая</t>
  </si>
  <si>
    <t>1. Пятерикова Анастасия</t>
  </si>
  <si>
    <t>Открытая (09.10.1992)/27</t>
  </si>
  <si>
    <t>63,90</t>
  </si>
  <si>
    <t xml:space="preserve">ЛНУ им. Шевченко </t>
  </si>
  <si>
    <t xml:space="preserve">Луганск/Луганская область </t>
  </si>
  <si>
    <t>51,0</t>
  </si>
  <si>
    <t xml:space="preserve">Шинкарёв Н. </t>
  </si>
  <si>
    <t>2. Сидоренко Елена</t>
  </si>
  <si>
    <t>3. Черкашина Марина</t>
  </si>
  <si>
    <t>Открытая (08.10.1995)/24</t>
  </si>
  <si>
    <t>46,25</t>
  </si>
  <si>
    <t>1. Чертов Юрий</t>
  </si>
  <si>
    <t>Юноши 16 - 17 (12.07.2003)/16</t>
  </si>
  <si>
    <t>81,50</t>
  </si>
  <si>
    <t>17,0</t>
  </si>
  <si>
    <t>1. Орловский Сергей</t>
  </si>
  <si>
    <t>Юноши 18 - 19 (14.01.2001)/18</t>
  </si>
  <si>
    <t>80,35</t>
  </si>
  <si>
    <t>2. Жарков Вадим</t>
  </si>
  <si>
    <t>32,0</t>
  </si>
  <si>
    <t>43,0</t>
  </si>
  <si>
    <t>2. Басанцов Дмитрий</t>
  </si>
  <si>
    <t>Шинкарев Николай</t>
  </si>
  <si>
    <t>1. Шинкарев Николай</t>
  </si>
  <si>
    <t>Открытая (02.02.1987)/32</t>
  </si>
  <si>
    <t>71,95</t>
  </si>
  <si>
    <t>66,0</t>
  </si>
  <si>
    <t>2. Кудрявцев Вадим</t>
  </si>
  <si>
    <t>1. Лупиногин Александр</t>
  </si>
  <si>
    <t>Открытая (25.01.1982)/37</t>
  </si>
  <si>
    <t>107,50</t>
  </si>
  <si>
    <t>19,0</t>
  </si>
  <si>
    <t>1. Приходько Александр</t>
  </si>
  <si>
    <t>Открытая (26.11.1989)/29</t>
  </si>
  <si>
    <t>93,35</t>
  </si>
  <si>
    <t>2. Анатолий Квадратов</t>
  </si>
  <si>
    <t>Открытая (05.04.1992)/27</t>
  </si>
  <si>
    <t>81,95</t>
  </si>
  <si>
    <t>15,0</t>
  </si>
  <si>
    <t>3. Мирзоев Андрей</t>
  </si>
  <si>
    <t>Открытая (17.06.1995)/24</t>
  </si>
  <si>
    <t>97,30</t>
  </si>
  <si>
    <t>14,0</t>
  </si>
  <si>
    <t>Подъем на бицепс</t>
  </si>
  <si>
    <t>Тарханян Телман</t>
  </si>
  <si>
    <t>1. Тарханян Телман</t>
  </si>
  <si>
    <t>Открытая (09.04.1990)/29</t>
  </si>
  <si>
    <t>59,75</t>
  </si>
  <si>
    <t xml:space="preserve">Тумасян Х. </t>
  </si>
  <si>
    <t>Рябыкин Дмитрий</t>
  </si>
  <si>
    <t>1. Рябыкин Дмитрий</t>
  </si>
  <si>
    <t>Открытая (08.06.1984)/35</t>
  </si>
  <si>
    <t>Березенко Александр</t>
  </si>
  <si>
    <t>2. Березенко Александр</t>
  </si>
  <si>
    <t>Открытая (20.04.1978)/41</t>
  </si>
  <si>
    <t>65,40</t>
  </si>
  <si>
    <t>2. Симбирский Евгений</t>
  </si>
  <si>
    <t>Навоян Георгий</t>
  </si>
  <si>
    <t>3. Навоян Георгий</t>
  </si>
  <si>
    <t>Открытая (22.12.1992)/26</t>
  </si>
  <si>
    <t>73,60</t>
  </si>
  <si>
    <t>Соломахин Александр</t>
  </si>
  <si>
    <t>4. Соломахин Александр</t>
  </si>
  <si>
    <t>Открытая (27.06.1984)/35</t>
  </si>
  <si>
    <t>73,30</t>
  </si>
  <si>
    <t>5. Сайков Виктор</t>
  </si>
  <si>
    <t>1. Гуревич Александр</t>
  </si>
  <si>
    <t>2. Дорохов Евгений</t>
  </si>
  <si>
    <t>Бережной Артем</t>
  </si>
  <si>
    <t>4. Бережной Артем</t>
  </si>
  <si>
    <t>Открытая (18.03.1990)/29</t>
  </si>
  <si>
    <t>80,70</t>
  </si>
  <si>
    <t>Козырев Виктор</t>
  </si>
  <si>
    <t>5. Козырев Виктор</t>
  </si>
  <si>
    <t>Открытая (21.01.1988)/31</t>
  </si>
  <si>
    <t>Дмитриченко Александр</t>
  </si>
  <si>
    <t>1. Дмитриченко Александр</t>
  </si>
  <si>
    <t>Открытая (14.06.1986)/33</t>
  </si>
  <si>
    <t>84,65</t>
  </si>
  <si>
    <t>Смирнов Дмитрий</t>
  </si>
  <si>
    <t>2. Смирнов Дмитрий</t>
  </si>
  <si>
    <t>Открытая (13.03.1984)/35</t>
  </si>
  <si>
    <t>88,95</t>
  </si>
  <si>
    <t>3. Гаранин Олег</t>
  </si>
  <si>
    <t>4. Обушинский Олег</t>
  </si>
  <si>
    <t>Кравченко Никита</t>
  </si>
  <si>
    <t>1. Кравченко Никита</t>
  </si>
  <si>
    <t>Открытая (05.06.1996)/23</t>
  </si>
  <si>
    <t>96,20</t>
  </si>
  <si>
    <t>Шаламов Александр</t>
  </si>
  <si>
    <t>2. Шаламов Александр</t>
  </si>
  <si>
    <t>Открытая (11.10.1963)/56</t>
  </si>
  <si>
    <t>98,80</t>
  </si>
  <si>
    <t>1. Шаламов Александр</t>
  </si>
  <si>
    <t>Мастера 55 - 59 (11.10.1963)/56</t>
  </si>
  <si>
    <t>1. Гриневич Евгений</t>
  </si>
  <si>
    <t>50,3310</t>
  </si>
  <si>
    <t>49,8111</t>
  </si>
  <si>
    <t>48,9780</t>
  </si>
  <si>
    <t>47,7075</t>
  </si>
  <si>
    <t>46,6620</t>
  </si>
  <si>
    <t>45,6688</t>
  </si>
  <si>
    <t>42,9582</t>
  </si>
  <si>
    <t>42,1562</t>
  </si>
  <si>
    <t>41,8365</t>
  </si>
  <si>
    <t>40,4625</t>
  </si>
  <si>
    <t>39,5558</t>
  </si>
  <si>
    <t>39,4940</t>
  </si>
  <si>
    <t>39,2250</t>
  </si>
  <si>
    <t>38,9102</t>
  </si>
  <si>
    <t>38,3697</t>
  </si>
  <si>
    <t>36,1970</t>
  </si>
  <si>
    <t>36,1675</t>
  </si>
  <si>
    <t>34,8125</t>
  </si>
  <si>
    <t>34,4135</t>
  </si>
  <si>
    <t>32,4225</t>
  </si>
  <si>
    <t>30,8963</t>
  </si>
  <si>
    <t>30,7388</t>
  </si>
  <si>
    <t>1. Романов Константин</t>
  </si>
  <si>
    <t>Открытая (07.02.1994)/25</t>
  </si>
  <si>
    <t>2. Куришко Никита</t>
  </si>
  <si>
    <t>Открытая (20.11.1992)/26</t>
  </si>
  <si>
    <t>95,00</t>
  </si>
  <si>
    <t>Изюмов А.И</t>
  </si>
  <si>
    <t>Талько А.А.</t>
  </si>
  <si>
    <t>Алампиев А.С.</t>
  </si>
  <si>
    <t>Щеколкин А.Д.</t>
  </si>
  <si>
    <t>108,62</t>
  </si>
  <si>
    <t>0,5382</t>
  </si>
  <si>
    <t>79,3811</t>
  </si>
  <si>
    <t>4. Дьячков Руслан</t>
  </si>
  <si>
    <t>3. Изюмов Андрей</t>
  </si>
  <si>
    <t>Дрожко П.А.</t>
  </si>
  <si>
    <t>Деркачева Н.О.</t>
  </si>
  <si>
    <t>Баканов А.В.</t>
  </si>
  <si>
    <t>Рябыкин Д.В.</t>
  </si>
  <si>
    <t>Изюмов А.И.</t>
  </si>
  <si>
    <t>Коррида 2
Любители пауэрлифтинг без экипировки
Ростов-на-Дону/Ростовская область 9 ноября 2019 г.</t>
  </si>
  <si>
    <t>Коррида 2
Любители пауэрлифтинг в софт-экипировке СТАНДАРТ
Ростов-на-Дону/Ростовская область 9 ноября 2019 г.</t>
  </si>
  <si>
    <t>Коррида 2
Силовое двоеборье любители
Ростов-на-Дону/Ростовская область 9 ноября 2019 г.</t>
  </si>
  <si>
    <t>Коррида 2
Силовое двоеборье профессионалы
Ростов-на-Дону/Ростовская область 9 ноября 2019 г.</t>
  </si>
  <si>
    <t>Коррида 2
Любители становая тяга без экипировки
Ростов-на-Дону/Ростовская область 9 ноября 2019 г.</t>
  </si>
  <si>
    <t>Коррида 2
ПРО становая тяга без экипировки
Ростов-на-Дону/Ростовская область 9 ноября 2019 г.</t>
  </si>
  <si>
    <t>Коррида 2
Любители жим лежа без экипировки
Ростов-на-Дону/Ростовская область 9 ноября 2019 г.</t>
  </si>
  <si>
    <t>Коррида 2
ПРО жим лежа без экипировки
Ростов-на-Дону/Ростовская область 9 ноября 2019 г.</t>
  </si>
  <si>
    <t>Коррида 2
Любители жим лежа в Софт экипировка однопетельная
Ростов-на-Дону/Ростовская область 9 ноября 2019 г.</t>
  </si>
  <si>
    <t>Коррида 2
Любители жим лежа в Софт экипировка многопетельная
Ростов-на-Дону/Ростовская область 9 ноября 2019 г.</t>
  </si>
  <si>
    <t>Коррида 2
ПРО военный жим
Ростов-на-Дону/Ростовская область 9 ноября 2019 г.</t>
  </si>
  <si>
    <t>Коррида 2
Любители военный жим
Ростов-на-Дону/Ростовская область 9 ноября 2019 г.</t>
  </si>
  <si>
    <t>Коррида 2 Народные
Любители народный жим (1/2 вес)
Ростов-на-Дону/Ростовская область 9 ноября 2019 г.</t>
  </si>
  <si>
    <t>Коррида 2 Народные
Любители народный жим (1 вес)
Ростов-на-Дону/Ростовская область 9 ноября 2019 г.</t>
  </si>
  <si>
    <t>Коррида 2 Русские
Русский жим любители 55 кг.
Ростов-на-Дону/Ростовская область 9 ноября 2019 г.</t>
  </si>
  <si>
    <t>Коррида 2 Русские
Русский жим любители 75 кг.
Ростов-на-Дону/Ростовская область 9 ноября 2019 г.</t>
  </si>
  <si>
    <t>Коррида 2 Русские
Русский жим любители 150 кг.
Ростов-на-Дону/Ростовская область 9 ноября 2019 г.</t>
  </si>
  <si>
    <t>Коррида 2 Русские
Русский жим профессионалы 100 кг.
Ростов-на-Дону/Ростовская область 9 ноября 2019 г.</t>
  </si>
  <si>
    <t>Коррида 2 Народные
Профессионалы народный жим (1 вес)
Ростов-на-Дону/Ростовская область 9 ноября 2019 г.</t>
  </si>
  <si>
    <t>Коррида 2 Русские
Русская станова тяга любители 55 кг.
Ростов-на-Дону/Ростовская область 9 ноября 2019 г.</t>
  </si>
  <si>
    <t>Коррида 2 Русские
Русская становая тяга любители 100 кг.
Ростов-на-Дону/Ростовская область 9 ноября 2019 г.</t>
  </si>
  <si>
    <t>Коррида 2 Русские
Русская становая тяга любители 200 кг.
Ростов-на-Дону/Ростовская область 9 ноября 2019 г.</t>
  </si>
  <si>
    <t>Коррида 2 Русские
Русская становая тяга профессионалы 200 кг.
Ростов-на-Дону/Ростовская область 9 ноября 2019 г.</t>
  </si>
  <si>
    <t>Коррида 2 Бицепс
Одиночный подъём штанги на бицепс Любители
Ростов-на-Дону/Ростовская область 9 ноября 2019 г.</t>
  </si>
  <si>
    <t>Коррида 2 Бицепс
Одиночный подъём штанги на бицепс Профессионалы
Ростов-на-Дону/Ростовская область 9 ноября 2019 г.</t>
  </si>
  <si>
    <t>Осипов К.П.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</si>
</sst>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2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6.125" style="4" bestFit="1" customWidth="1"/>
    <col min="22" max="16384" width="9.125" style="3" customWidth="1"/>
  </cols>
  <sheetData>
    <row r="1" spans="1:21" s="2" customFormat="1" ht="28.5" customHeight="1">
      <c r="A1" s="60" t="s">
        <v>812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10</v>
      </c>
      <c r="H3" s="54"/>
      <c r="I3" s="54"/>
      <c r="J3" s="54"/>
      <c r="K3" s="54" t="s">
        <v>11</v>
      </c>
      <c r="L3" s="54"/>
      <c r="M3" s="54"/>
      <c r="N3" s="54"/>
      <c r="O3" s="54" t="s">
        <v>12</v>
      </c>
      <c r="P3" s="54"/>
      <c r="Q3" s="54"/>
      <c r="R3" s="54"/>
      <c r="S3" s="54" t="s">
        <v>1</v>
      </c>
      <c r="T3" s="54" t="s">
        <v>3</v>
      </c>
      <c r="U3" s="56" t="s">
        <v>2</v>
      </c>
    </row>
    <row r="4" spans="1:21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34">
        <v>1</v>
      </c>
      <c r="L4" s="34">
        <v>2</v>
      </c>
      <c r="M4" s="34">
        <v>3</v>
      </c>
      <c r="N4" s="34" t="s">
        <v>5</v>
      </c>
      <c r="O4" s="34">
        <v>1</v>
      </c>
      <c r="P4" s="34">
        <v>2</v>
      </c>
      <c r="Q4" s="34">
        <v>3</v>
      </c>
      <c r="R4" s="34" t="s">
        <v>5</v>
      </c>
      <c r="S4" s="55"/>
      <c r="T4" s="55"/>
      <c r="U4" s="57"/>
    </row>
    <row r="5" spans="1:20" ht="15">
      <c r="A5" s="58" t="s">
        <v>96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ht="12.75">
      <c r="A6" s="8" t="s">
        <v>98</v>
      </c>
      <c r="B6" s="8" t="s">
        <v>99</v>
      </c>
      <c r="C6" s="8" t="s">
        <v>100</v>
      </c>
      <c r="D6" s="8" t="str">
        <f>"0,9786"</f>
        <v>0,9786</v>
      </c>
      <c r="E6" s="8" t="s">
        <v>18</v>
      </c>
      <c r="F6" s="8" t="s">
        <v>19</v>
      </c>
      <c r="G6" s="9" t="s">
        <v>101</v>
      </c>
      <c r="H6" s="9" t="s">
        <v>102</v>
      </c>
      <c r="I6" s="10" t="s">
        <v>103</v>
      </c>
      <c r="J6" s="10"/>
      <c r="K6" s="9" t="s">
        <v>104</v>
      </c>
      <c r="L6" s="10" t="s">
        <v>105</v>
      </c>
      <c r="M6" s="10" t="s">
        <v>105</v>
      </c>
      <c r="N6" s="10"/>
      <c r="O6" s="9" t="s">
        <v>40</v>
      </c>
      <c r="P6" s="9" t="s">
        <v>20</v>
      </c>
      <c r="Q6" s="10" t="s">
        <v>106</v>
      </c>
      <c r="R6" s="10"/>
      <c r="S6" s="8" t="str">
        <f>"285,0"</f>
        <v>285,0</v>
      </c>
      <c r="T6" s="9" t="str">
        <f>"278,8868"</f>
        <v>278,8868</v>
      </c>
      <c r="U6" s="8" t="s">
        <v>27</v>
      </c>
    </row>
    <row r="7" spans="1:21" ht="12.75">
      <c r="A7" s="11" t="s">
        <v>108</v>
      </c>
      <c r="B7" s="11" t="s">
        <v>109</v>
      </c>
      <c r="C7" s="11" t="s">
        <v>110</v>
      </c>
      <c r="D7" s="11" t="str">
        <f>"0,9817"</f>
        <v>0,9817</v>
      </c>
      <c r="E7" s="11" t="s">
        <v>33</v>
      </c>
      <c r="F7" s="11" t="s">
        <v>49</v>
      </c>
      <c r="G7" s="12" t="s">
        <v>24</v>
      </c>
      <c r="H7" s="12" t="s">
        <v>111</v>
      </c>
      <c r="I7" s="13" t="s">
        <v>112</v>
      </c>
      <c r="J7" s="13"/>
      <c r="K7" s="12" t="s">
        <v>113</v>
      </c>
      <c r="L7" s="12" t="s">
        <v>114</v>
      </c>
      <c r="M7" s="12" t="s">
        <v>115</v>
      </c>
      <c r="N7" s="13"/>
      <c r="O7" s="12" t="s">
        <v>116</v>
      </c>
      <c r="P7" s="12" t="s">
        <v>38</v>
      </c>
      <c r="Q7" s="12" t="s">
        <v>117</v>
      </c>
      <c r="R7" s="13"/>
      <c r="S7" s="11" t="str">
        <f>"232,5"</f>
        <v>232,5</v>
      </c>
      <c r="T7" s="12" t="str">
        <f>"228,2453"</f>
        <v>228,2453</v>
      </c>
      <c r="U7" s="11" t="s">
        <v>118</v>
      </c>
    </row>
    <row r="8" spans="1:21" ht="12.75">
      <c r="A8" s="11" t="s">
        <v>120</v>
      </c>
      <c r="B8" s="11" t="s">
        <v>121</v>
      </c>
      <c r="C8" s="11" t="s">
        <v>122</v>
      </c>
      <c r="D8" s="11" t="str">
        <f>"0,9833"</f>
        <v>0,9833</v>
      </c>
      <c r="E8" s="11" t="s">
        <v>123</v>
      </c>
      <c r="F8" s="11" t="s">
        <v>49</v>
      </c>
      <c r="G8" s="12" t="s">
        <v>22</v>
      </c>
      <c r="H8" s="13" t="s">
        <v>23</v>
      </c>
      <c r="I8" s="12" t="s">
        <v>23</v>
      </c>
      <c r="J8" s="13"/>
      <c r="K8" s="12" t="s">
        <v>113</v>
      </c>
      <c r="L8" s="12" t="s">
        <v>114</v>
      </c>
      <c r="M8" s="13" t="s">
        <v>115</v>
      </c>
      <c r="N8" s="13"/>
      <c r="O8" s="13" t="s">
        <v>124</v>
      </c>
      <c r="P8" s="13" t="s">
        <v>124</v>
      </c>
      <c r="Q8" s="12" t="s">
        <v>124</v>
      </c>
      <c r="R8" s="13"/>
      <c r="S8" s="11" t="str">
        <f>"210,0"</f>
        <v>210,0</v>
      </c>
      <c r="T8" s="12" t="str">
        <f>"206,4825"</f>
        <v>206,4825</v>
      </c>
      <c r="U8" s="11" t="s">
        <v>118</v>
      </c>
    </row>
    <row r="9" spans="1:21" ht="12.75">
      <c r="A9" s="14" t="s">
        <v>125</v>
      </c>
      <c r="B9" s="14" t="s">
        <v>126</v>
      </c>
      <c r="C9" s="14" t="s">
        <v>110</v>
      </c>
      <c r="D9" s="14" t="str">
        <f>"0,9817"</f>
        <v>0,9817</v>
      </c>
      <c r="E9" s="14" t="s">
        <v>33</v>
      </c>
      <c r="F9" s="14" t="s">
        <v>49</v>
      </c>
      <c r="G9" s="17" t="s">
        <v>127</v>
      </c>
      <c r="H9" s="17" t="s">
        <v>128</v>
      </c>
      <c r="I9" s="17" t="s">
        <v>101</v>
      </c>
      <c r="J9" s="15"/>
      <c r="K9" s="15" t="s">
        <v>104</v>
      </c>
      <c r="L9" s="15" t="s">
        <v>104</v>
      </c>
      <c r="M9" s="17" t="s">
        <v>104</v>
      </c>
      <c r="N9" s="15"/>
      <c r="O9" s="17" t="s">
        <v>40</v>
      </c>
      <c r="P9" s="17" t="s">
        <v>51</v>
      </c>
      <c r="Q9" s="17" t="s">
        <v>20</v>
      </c>
      <c r="R9" s="15"/>
      <c r="S9" s="14" t="str">
        <f>"275,0"</f>
        <v>275,0</v>
      </c>
      <c r="T9" s="17" t="str">
        <f>"294,8045"</f>
        <v>294,8045</v>
      </c>
      <c r="U9" s="14" t="s">
        <v>44</v>
      </c>
    </row>
    <row r="11" spans="1:20" ht="15">
      <c r="A11" s="52" t="s">
        <v>13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1" ht="12.75">
      <c r="A12" s="5" t="s">
        <v>130</v>
      </c>
      <c r="B12" s="5" t="s">
        <v>131</v>
      </c>
      <c r="C12" s="5" t="s">
        <v>132</v>
      </c>
      <c r="D12" s="5" t="str">
        <f>"0,9160"</f>
        <v>0,9160</v>
      </c>
      <c r="E12" s="5" t="s">
        <v>59</v>
      </c>
      <c r="F12" s="5" t="s">
        <v>49</v>
      </c>
      <c r="G12" s="6" t="s">
        <v>127</v>
      </c>
      <c r="H12" s="7" t="s">
        <v>133</v>
      </c>
      <c r="I12" s="7" t="s">
        <v>102</v>
      </c>
      <c r="J12" s="6"/>
      <c r="K12" s="7" t="s">
        <v>134</v>
      </c>
      <c r="L12" s="7" t="s">
        <v>135</v>
      </c>
      <c r="M12" s="6" t="s">
        <v>23</v>
      </c>
      <c r="N12" s="6"/>
      <c r="O12" s="7" t="s">
        <v>106</v>
      </c>
      <c r="P12" s="7" t="s">
        <v>136</v>
      </c>
      <c r="Q12" s="7" t="s">
        <v>137</v>
      </c>
      <c r="R12" s="6"/>
      <c r="S12" s="5" t="str">
        <f>"305,0"</f>
        <v>305,0</v>
      </c>
      <c r="T12" s="7" t="str">
        <f>"279,3800"</f>
        <v>279,3800</v>
      </c>
      <c r="U12" s="5" t="s">
        <v>63</v>
      </c>
    </row>
    <row r="14" spans="1:20" ht="15">
      <c r="A14" s="52" t="s">
        <v>138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1" ht="12.75">
      <c r="A15" s="5" t="s">
        <v>140</v>
      </c>
      <c r="B15" s="5" t="s">
        <v>141</v>
      </c>
      <c r="C15" s="5" t="s">
        <v>142</v>
      </c>
      <c r="D15" s="5" t="str">
        <f>"0,8845"</f>
        <v>0,8845</v>
      </c>
      <c r="E15" s="5" t="s">
        <v>18</v>
      </c>
      <c r="F15" s="5" t="s">
        <v>19</v>
      </c>
      <c r="G15" s="7" t="s">
        <v>101</v>
      </c>
      <c r="H15" s="7" t="s">
        <v>102</v>
      </c>
      <c r="I15" s="7" t="s">
        <v>117</v>
      </c>
      <c r="J15" s="6"/>
      <c r="K15" s="7" t="s">
        <v>143</v>
      </c>
      <c r="L15" s="7" t="s">
        <v>135</v>
      </c>
      <c r="M15" s="7" t="s">
        <v>105</v>
      </c>
      <c r="N15" s="6"/>
      <c r="O15" s="7" t="s">
        <v>144</v>
      </c>
      <c r="P15" s="7" t="s">
        <v>145</v>
      </c>
      <c r="Q15" s="7" t="s">
        <v>146</v>
      </c>
      <c r="R15" s="6"/>
      <c r="S15" s="5" t="str">
        <f>"335,0"</f>
        <v>335,0</v>
      </c>
      <c r="T15" s="7" t="str">
        <f>"296,2908"</f>
        <v>296,2908</v>
      </c>
      <c r="U15" s="5" t="s">
        <v>27</v>
      </c>
    </row>
    <row r="17" spans="1:20" ht="15">
      <c r="A17" s="52" t="s">
        <v>96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1" ht="12.75">
      <c r="A18" s="5" t="s">
        <v>147</v>
      </c>
      <c r="B18" s="5" t="s">
        <v>148</v>
      </c>
      <c r="C18" s="5" t="s">
        <v>149</v>
      </c>
      <c r="D18" s="5" t="str">
        <f>"1,0659"</f>
        <v>1,0659</v>
      </c>
      <c r="E18" s="5" t="s">
        <v>18</v>
      </c>
      <c r="F18" s="5" t="s">
        <v>19</v>
      </c>
      <c r="G18" s="7" t="s">
        <v>104</v>
      </c>
      <c r="H18" s="7" t="s">
        <v>23</v>
      </c>
      <c r="I18" s="7" t="s">
        <v>111</v>
      </c>
      <c r="J18" s="6"/>
      <c r="K18" s="7" t="s">
        <v>150</v>
      </c>
      <c r="L18" s="7" t="s">
        <v>114</v>
      </c>
      <c r="M18" s="6" t="s">
        <v>151</v>
      </c>
      <c r="N18" s="6"/>
      <c r="O18" s="7" t="s">
        <v>102</v>
      </c>
      <c r="P18" s="6" t="s">
        <v>117</v>
      </c>
      <c r="Q18" s="6" t="s">
        <v>117</v>
      </c>
      <c r="R18" s="6"/>
      <c r="S18" s="5" t="str">
        <f>"220,0"</f>
        <v>220,0</v>
      </c>
      <c r="T18" s="7" t="str">
        <f>"288,4325"</f>
        <v>288,4325</v>
      </c>
      <c r="U18" s="5" t="s">
        <v>27</v>
      </c>
    </row>
    <row r="20" spans="1:20" ht="15">
      <c r="A20" s="52" t="s">
        <v>152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1" ht="12.75">
      <c r="A21" s="5" t="s">
        <v>153</v>
      </c>
      <c r="B21" s="5" t="s">
        <v>154</v>
      </c>
      <c r="C21" s="5" t="s">
        <v>155</v>
      </c>
      <c r="D21" s="5" t="str">
        <f>"0,7993"</f>
        <v>0,7993</v>
      </c>
      <c r="E21" s="5" t="s">
        <v>156</v>
      </c>
      <c r="F21" s="5" t="s">
        <v>157</v>
      </c>
      <c r="G21" s="7" t="s">
        <v>51</v>
      </c>
      <c r="H21" s="7" t="s">
        <v>20</v>
      </c>
      <c r="I21" s="6" t="s">
        <v>158</v>
      </c>
      <c r="J21" s="6"/>
      <c r="K21" s="7" t="s">
        <v>111</v>
      </c>
      <c r="L21" s="6" t="s">
        <v>112</v>
      </c>
      <c r="M21" s="6"/>
      <c r="N21" s="6"/>
      <c r="O21" s="7" t="s">
        <v>146</v>
      </c>
      <c r="P21" s="6" t="s">
        <v>159</v>
      </c>
      <c r="Q21" s="6"/>
      <c r="R21" s="6"/>
      <c r="S21" s="5" t="str">
        <f>"360,0"</f>
        <v>360,0</v>
      </c>
      <c r="T21" s="7" t="str">
        <f>"290,6255"</f>
        <v>290,6255</v>
      </c>
      <c r="U21" s="5" t="s">
        <v>160</v>
      </c>
    </row>
    <row r="23" spans="1:20" ht="15">
      <c r="A23" s="52" t="s">
        <v>28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1" ht="12.75">
      <c r="A24" s="5" t="s">
        <v>161</v>
      </c>
      <c r="B24" s="5" t="s">
        <v>162</v>
      </c>
      <c r="C24" s="5" t="s">
        <v>163</v>
      </c>
      <c r="D24" s="5" t="str">
        <f>"0,6741"</f>
        <v>0,6741</v>
      </c>
      <c r="E24" s="5" t="s">
        <v>156</v>
      </c>
      <c r="F24" s="5" t="s">
        <v>157</v>
      </c>
      <c r="G24" s="7" t="s">
        <v>146</v>
      </c>
      <c r="H24" s="7" t="s">
        <v>164</v>
      </c>
      <c r="I24" s="6" t="s">
        <v>60</v>
      </c>
      <c r="J24" s="6"/>
      <c r="K24" s="7" t="s">
        <v>40</v>
      </c>
      <c r="L24" s="6" t="s">
        <v>51</v>
      </c>
      <c r="M24" s="6"/>
      <c r="N24" s="6"/>
      <c r="O24" s="7" t="s">
        <v>37</v>
      </c>
      <c r="P24" s="7" t="s">
        <v>54</v>
      </c>
      <c r="Q24" s="7" t="s">
        <v>165</v>
      </c>
      <c r="R24" s="6"/>
      <c r="S24" s="5" t="str">
        <f>"520,0"</f>
        <v>520,0</v>
      </c>
      <c r="T24" s="7" t="str">
        <f>"354,0373"</f>
        <v>354,0373</v>
      </c>
      <c r="U24" s="5" t="s">
        <v>160</v>
      </c>
    </row>
    <row r="26" spans="1:20" ht="15">
      <c r="A26" s="52" t="s">
        <v>166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1" ht="12.75">
      <c r="A27" s="5" t="s">
        <v>167</v>
      </c>
      <c r="B27" s="5" t="s">
        <v>168</v>
      </c>
      <c r="C27" s="5" t="s">
        <v>169</v>
      </c>
      <c r="D27" s="5" t="str">
        <f>"0,5455"</f>
        <v>0,5455</v>
      </c>
      <c r="E27" s="5" t="s">
        <v>18</v>
      </c>
      <c r="F27" s="5" t="s">
        <v>19</v>
      </c>
      <c r="G27" s="7" t="s">
        <v>164</v>
      </c>
      <c r="H27" s="7" t="s">
        <v>61</v>
      </c>
      <c r="I27" s="7" t="s">
        <v>170</v>
      </c>
      <c r="J27" s="6"/>
      <c r="K27" s="7" t="s">
        <v>102</v>
      </c>
      <c r="L27" s="7" t="s">
        <v>117</v>
      </c>
      <c r="M27" s="7" t="s">
        <v>51</v>
      </c>
      <c r="N27" s="6"/>
      <c r="O27" s="7" t="s">
        <v>170</v>
      </c>
      <c r="P27" s="7" t="s">
        <v>53</v>
      </c>
      <c r="Q27" s="7" t="s">
        <v>41</v>
      </c>
      <c r="R27" s="6"/>
      <c r="S27" s="5" t="str">
        <f>"525,0"</f>
        <v>525,0</v>
      </c>
      <c r="T27" s="7" t="str">
        <f>"346,2425"</f>
        <v>346,2425</v>
      </c>
      <c r="U27" s="5" t="s">
        <v>27</v>
      </c>
    </row>
    <row r="29" spans="5:6" ht="15">
      <c r="E29" s="16" t="s">
        <v>79</v>
      </c>
      <c r="F29" s="16" t="s">
        <v>798</v>
      </c>
    </row>
    <row r="30" spans="5:6" ht="15">
      <c r="E30" s="16" t="s">
        <v>80</v>
      </c>
      <c r="F30" s="16" t="s">
        <v>799</v>
      </c>
    </row>
    <row r="31" spans="5:6" ht="15">
      <c r="E31" s="16" t="s">
        <v>81</v>
      </c>
      <c r="F31" s="16" t="s">
        <v>800</v>
      </c>
    </row>
    <row r="32" spans="5:6" ht="15">
      <c r="E32" s="16" t="s">
        <v>82</v>
      </c>
      <c r="F32" s="16" t="s">
        <v>801</v>
      </c>
    </row>
    <row r="33" spans="5:6" ht="15">
      <c r="E33" s="16" t="s">
        <v>82</v>
      </c>
      <c r="F33" s="16" t="s">
        <v>798</v>
      </c>
    </row>
    <row r="35" ht="15">
      <c r="E35" s="16"/>
    </row>
  </sheetData>
  <sheetProtection/>
  <mergeCells count="20">
    <mergeCell ref="U3:U4"/>
    <mergeCell ref="A5:T5"/>
    <mergeCell ref="A11:T11"/>
    <mergeCell ref="A14:T1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7:T17"/>
    <mergeCell ref="A20:T20"/>
    <mergeCell ref="A23:T23"/>
    <mergeCell ref="A26:T26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5.7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3.125" style="4" bestFit="1" customWidth="1"/>
    <col min="14" max="16384" width="9.125" style="3" customWidth="1"/>
  </cols>
  <sheetData>
    <row r="1" spans="1:13" s="2" customFormat="1" ht="28.5" customHeight="1">
      <c r="A1" s="60" t="s">
        <v>821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237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242</v>
      </c>
      <c r="B6" s="5" t="s">
        <v>243</v>
      </c>
      <c r="C6" s="5" t="s">
        <v>244</v>
      </c>
      <c r="D6" s="5" t="str">
        <f>"0,5296"</f>
        <v>0,5296</v>
      </c>
      <c r="E6" s="5" t="s">
        <v>193</v>
      </c>
      <c r="F6" s="5" t="s">
        <v>194</v>
      </c>
      <c r="G6" s="7" t="s">
        <v>61</v>
      </c>
      <c r="H6" s="6" t="s">
        <v>37</v>
      </c>
      <c r="I6" s="6" t="s">
        <v>37</v>
      </c>
      <c r="J6" s="6"/>
      <c r="K6" s="5" t="str">
        <f>"180,0"</f>
        <v>180,0</v>
      </c>
      <c r="L6" s="7" t="str">
        <f>"136,3190"</f>
        <v>136,3190</v>
      </c>
      <c r="M6" s="5" t="s">
        <v>195</v>
      </c>
    </row>
    <row r="8" spans="5:6" ht="15">
      <c r="E8" s="16" t="s">
        <v>79</v>
      </c>
      <c r="F8" s="16" t="s">
        <v>798</v>
      </c>
    </row>
    <row r="9" spans="5:6" ht="15">
      <c r="E9" s="16" t="s">
        <v>80</v>
      </c>
      <c r="F9" s="16" t="s">
        <v>799</v>
      </c>
    </row>
    <row r="10" spans="5:6" ht="15">
      <c r="E10" s="16" t="s">
        <v>81</v>
      </c>
      <c r="F10" s="16" t="s">
        <v>807</v>
      </c>
    </row>
    <row r="11" spans="5:6" ht="15">
      <c r="E11" s="16" t="s">
        <v>82</v>
      </c>
      <c r="F11" s="16" t="s">
        <v>800</v>
      </c>
    </row>
    <row r="12" spans="5:6" ht="15">
      <c r="E12" s="16" t="s">
        <v>82</v>
      </c>
      <c r="F12" s="16" t="s">
        <v>808</v>
      </c>
    </row>
    <row r="14" ht="15">
      <c r="E14" s="16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5.7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260</v>
      </c>
      <c r="B6" s="5" t="s">
        <v>261</v>
      </c>
      <c r="C6" s="5" t="s">
        <v>262</v>
      </c>
      <c r="D6" s="5" t="str">
        <f>"0,5541"</f>
        <v>0,5541</v>
      </c>
      <c r="E6" s="5" t="s">
        <v>193</v>
      </c>
      <c r="F6" s="5" t="s">
        <v>194</v>
      </c>
      <c r="G6" s="7" t="s">
        <v>144</v>
      </c>
      <c r="H6" s="7" t="s">
        <v>145</v>
      </c>
      <c r="I6" s="7" t="s">
        <v>263</v>
      </c>
      <c r="J6" s="6"/>
      <c r="K6" s="5" t="str">
        <f>"162,5"</f>
        <v>162,5</v>
      </c>
      <c r="L6" s="7" t="str">
        <f>"90,0494"</f>
        <v>90,0494</v>
      </c>
      <c r="M6" s="5" t="s">
        <v>44</v>
      </c>
    </row>
    <row r="8" spans="5:6" ht="15">
      <c r="E8" s="16" t="s">
        <v>79</v>
      </c>
      <c r="F8" s="16" t="s">
        <v>798</v>
      </c>
    </row>
    <row r="9" spans="5:6" ht="15">
      <c r="E9" s="16" t="s">
        <v>80</v>
      </c>
      <c r="F9" s="16" t="s">
        <v>799</v>
      </c>
    </row>
    <row r="10" spans="5:6" ht="15">
      <c r="E10" s="16" t="s">
        <v>81</v>
      </c>
      <c r="F10" s="16" t="s">
        <v>807</v>
      </c>
    </row>
    <row r="11" spans="5:6" ht="15">
      <c r="E11" s="16" t="s">
        <v>82</v>
      </c>
      <c r="F11" s="16" t="s">
        <v>809</v>
      </c>
    </row>
    <row r="12" spans="5:6" ht="15">
      <c r="E12" s="16" t="s">
        <v>82</v>
      </c>
      <c r="F12" s="16" t="s">
        <v>808</v>
      </c>
    </row>
    <row r="14" ht="15">
      <c r="E14" s="16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8.2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175</v>
      </c>
      <c r="B6" s="5" t="s">
        <v>176</v>
      </c>
      <c r="C6" s="5" t="s">
        <v>177</v>
      </c>
      <c r="D6" s="5" t="str">
        <f>"0,6789"</f>
        <v>0,6789</v>
      </c>
      <c r="E6" s="5" t="s">
        <v>33</v>
      </c>
      <c r="F6" s="5" t="s">
        <v>49</v>
      </c>
      <c r="G6" s="7" t="s">
        <v>22</v>
      </c>
      <c r="H6" s="7" t="s">
        <v>111</v>
      </c>
      <c r="I6" s="6"/>
      <c r="J6" s="6"/>
      <c r="K6" s="5" t="str">
        <f>"75,0"</f>
        <v>75,0</v>
      </c>
      <c r="L6" s="7" t="str">
        <f>"50,9175"</f>
        <v>50,9175</v>
      </c>
      <c r="M6" s="5" t="s">
        <v>178</v>
      </c>
    </row>
    <row r="8" spans="1:12" ht="15">
      <c r="A8" s="52" t="s">
        <v>152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5" t="s">
        <v>180</v>
      </c>
      <c r="B9" s="5" t="s">
        <v>181</v>
      </c>
      <c r="C9" s="5" t="s">
        <v>182</v>
      </c>
      <c r="D9" s="5" t="str">
        <f>"0,7263"</f>
        <v>0,7263</v>
      </c>
      <c r="E9" s="5" t="s">
        <v>33</v>
      </c>
      <c r="F9" s="5" t="s">
        <v>183</v>
      </c>
      <c r="G9" s="6" t="s">
        <v>51</v>
      </c>
      <c r="H9" s="7" t="s">
        <v>51</v>
      </c>
      <c r="I9" s="6" t="s">
        <v>20</v>
      </c>
      <c r="J9" s="6"/>
      <c r="K9" s="5" t="str">
        <f>"120,0"</f>
        <v>120,0</v>
      </c>
      <c r="L9" s="7" t="str">
        <f>"87,1560"</f>
        <v>87,1560</v>
      </c>
      <c r="M9" s="5" t="s">
        <v>44</v>
      </c>
    </row>
    <row r="11" spans="1:12" ht="15">
      <c r="A11" s="52" t="s">
        <v>28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8" t="s">
        <v>185</v>
      </c>
      <c r="B12" s="8" t="s">
        <v>186</v>
      </c>
      <c r="C12" s="8" t="s">
        <v>187</v>
      </c>
      <c r="D12" s="8" t="str">
        <f>"0,6812"</f>
        <v>0,6812</v>
      </c>
      <c r="E12" s="8" t="s">
        <v>188</v>
      </c>
      <c r="F12" s="8" t="s">
        <v>49</v>
      </c>
      <c r="G12" s="9" t="s">
        <v>117</v>
      </c>
      <c r="H12" s="9" t="s">
        <v>158</v>
      </c>
      <c r="I12" s="9" t="s">
        <v>106</v>
      </c>
      <c r="J12" s="10"/>
      <c r="K12" s="8" t="str">
        <f>"130,0"</f>
        <v>130,0</v>
      </c>
      <c r="L12" s="9" t="str">
        <f>"88,5560"</f>
        <v>88,5560</v>
      </c>
      <c r="M12" s="8" t="s">
        <v>189</v>
      </c>
    </row>
    <row r="13" spans="1:13" ht="12.75">
      <c r="A13" s="14" t="s">
        <v>190</v>
      </c>
      <c r="B13" s="14" t="s">
        <v>191</v>
      </c>
      <c r="C13" s="14" t="s">
        <v>192</v>
      </c>
      <c r="D13" s="14" t="str">
        <f>"0,6701"</f>
        <v>0,6701</v>
      </c>
      <c r="E13" s="14" t="s">
        <v>193</v>
      </c>
      <c r="F13" s="14" t="s">
        <v>194</v>
      </c>
      <c r="G13" s="17" t="s">
        <v>117</v>
      </c>
      <c r="H13" s="17" t="s">
        <v>40</v>
      </c>
      <c r="I13" s="15"/>
      <c r="J13" s="15"/>
      <c r="K13" s="14" t="str">
        <f>"115,0"</f>
        <v>115,0</v>
      </c>
      <c r="L13" s="17" t="str">
        <f>"118,2894"</f>
        <v>118,2894</v>
      </c>
      <c r="M13" s="14" t="s">
        <v>195</v>
      </c>
    </row>
    <row r="15" spans="1:12" ht="15">
      <c r="A15" s="52" t="s">
        <v>45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12.75">
      <c r="A16" s="8" t="s">
        <v>197</v>
      </c>
      <c r="B16" s="8" t="s">
        <v>198</v>
      </c>
      <c r="C16" s="8" t="s">
        <v>199</v>
      </c>
      <c r="D16" s="8" t="str">
        <f>"0,6292"</f>
        <v>0,6292</v>
      </c>
      <c r="E16" s="8" t="s">
        <v>188</v>
      </c>
      <c r="F16" s="8" t="s">
        <v>49</v>
      </c>
      <c r="G16" s="9" t="s">
        <v>20</v>
      </c>
      <c r="H16" s="10" t="s">
        <v>21</v>
      </c>
      <c r="I16" s="10" t="s">
        <v>21</v>
      </c>
      <c r="J16" s="10"/>
      <c r="K16" s="8" t="str">
        <f>"125,0"</f>
        <v>125,0</v>
      </c>
      <c r="L16" s="9" t="str">
        <f>"78,6562"</f>
        <v>78,6562</v>
      </c>
      <c r="M16" s="8" t="s">
        <v>44</v>
      </c>
    </row>
    <row r="17" spans="1:13" ht="12.75">
      <c r="A17" s="14" t="s">
        <v>201</v>
      </c>
      <c r="B17" s="14" t="s">
        <v>202</v>
      </c>
      <c r="C17" s="14" t="s">
        <v>203</v>
      </c>
      <c r="D17" s="14" t="str">
        <f>"0,6262"</f>
        <v>0,6262</v>
      </c>
      <c r="E17" s="14" t="s">
        <v>33</v>
      </c>
      <c r="F17" s="14" t="s">
        <v>204</v>
      </c>
      <c r="G17" s="17" t="s">
        <v>51</v>
      </c>
      <c r="H17" s="15" t="s">
        <v>20</v>
      </c>
      <c r="I17" s="15" t="s">
        <v>20</v>
      </c>
      <c r="J17" s="15"/>
      <c r="K17" s="14" t="str">
        <f>"120,0"</f>
        <v>120,0</v>
      </c>
      <c r="L17" s="17" t="str">
        <f>"75,1440"</f>
        <v>75,1440</v>
      </c>
      <c r="M17" s="14" t="s">
        <v>44</v>
      </c>
    </row>
    <row r="19" spans="1:12" ht="15">
      <c r="A19" s="52" t="s">
        <v>205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8" t="s">
        <v>207</v>
      </c>
      <c r="B20" s="8" t="s">
        <v>208</v>
      </c>
      <c r="C20" s="8" t="s">
        <v>209</v>
      </c>
      <c r="D20" s="8" t="str">
        <f>"0,5887"</f>
        <v>0,5887</v>
      </c>
      <c r="E20" s="8" t="s">
        <v>193</v>
      </c>
      <c r="F20" s="8" t="s">
        <v>194</v>
      </c>
      <c r="G20" s="9" t="s">
        <v>40</v>
      </c>
      <c r="H20" s="9" t="s">
        <v>51</v>
      </c>
      <c r="I20" s="9" t="s">
        <v>20</v>
      </c>
      <c r="J20" s="10"/>
      <c r="K20" s="8" t="str">
        <f>"125,0"</f>
        <v>125,0</v>
      </c>
      <c r="L20" s="9" t="str">
        <f>"73,5875"</f>
        <v>73,5875</v>
      </c>
      <c r="M20" s="8" t="s">
        <v>195</v>
      </c>
    </row>
    <row r="21" spans="1:13" ht="12.75">
      <c r="A21" s="14" t="s">
        <v>211</v>
      </c>
      <c r="B21" s="14" t="s">
        <v>212</v>
      </c>
      <c r="C21" s="14" t="s">
        <v>213</v>
      </c>
      <c r="D21" s="14" t="str">
        <f>"0,5855"</f>
        <v>0,5855</v>
      </c>
      <c r="E21" s="14" t="s">
        <v>193</v>
      </c>
      <c r="F21" s="14" t="s">
        <v>194</v>
      </c>
      <c r="G21" s="17" t="s">
        <v>117</v>
      </c>
      <c r="H21" s="17" t="s">
        <v>40</v>
      </c>
      <c r="I21" s="17" t="s">
        <v>51</v>
      </c>
      <c r="J21" s="15"/>
      <c r="K21" s="14" t="str">
        <f>"120,0"</f>
        <v>120,0</v>
      </c>
      <c r="L21" s="17" t="str">
        <f>"70,2600"</f>
        <v>70,2600</v>
      </c>
      <c r="M21" s="14" t="s">
        <v>195</v>
      </c>
    </row>
    <row r="23" spans="1:12" ht="15">
      <c r="A23" s="52" t="s">
        <v>68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3" ht="12.75">
      <c r="A24" s="8" t="s">
        <v>214</v>
      </c>
      <c r="B24" s="8" t="s">
        <v>215</v>
      </c>
      <c r="C24" s="8" t="s">
        <v>216</v>
      </c>
      <c r="D24" s="8" t="str">
        <f>"0,5815"</f>
        <v>0,5815</v>
      </c>
      <c r="E24" s="8" t="s">
        <v>217</v>
      </c>
      <c r="F24" s="8" t="s">
        <v>218</v>
      </c>
      <c r="G24" s="9" t="s">
        <v>51</v>
      </c>
      <c r="H24" s="9" t="s">
        <v>106</v>
      </c>
      <c r="I24" s="9" t="s">
        <v>25</v>
      </c>
      <c r="J24" s="10"/>
      <c r="K24" s="8" t="str">
        <f>"140,0"</f>
        <v>140,0</v>
      </c>
      <c r="L24" s="9" t="str">
        <f>"83,8523"</f>
        <v>83,8523</v>
      </c>
      <c r="M24" s="8" t="s">
        <v>44</v>
      </c>
    </row>
    <row r="25" spans="1:13" ht="12.75">
      <c r="A25" s="11" t="s">
        <v>220</v>
      </c>
      <c r="B25" s="11" t="s">
        <v>221</v>
      </c>
      <c r="C25" s="11" t="s">
        <v>222</v>
      </c>
      <c r="D25" s="11" t="str">
        <f>"0,5737"</f>
        <v>0,5737</v>
      </c>
      <c r="E25" s="11" t="s">
        <v>193</v>
      </c>
      <c r="F25" s="11" t="s">
        <v>223</v>
      </c>
      <c r="G25" s="12" t="s">
        <v>144</v>
      </c>
      <c r="H25" s="12" t="s">
        <v>26</v>
      </c>
      <c r="I25" s="13" t="s">
        <v>146</v>
      </c>
      <c r="J25" s="13"/>
      <c r="K25" s="11" t="str">
        <f>"150,0"</f>
        <v>150,0</v>
      </c>
      <c r="L25" s="12" t="str">
        <f>"86,0550"</f>
        <v>86,0550</v>
      </c>
      <c r="M25" s="11" t="s">
        <v>44</v>
      </c>
    </row>
    <row r="26" spans="1:13" ht="12.75">
      <c r="A26" s="11" t="s">
        <v>225</v>
      </c>
      <c r="B26" s="11" t="s">
        <v>226</v>
      </c>
      <c r="C26" s="11" t="s">
        <v>227</v>
      </c>
      <c r="D26" s="11" t="str">
        <f>"0,5615"</f>
        <v>0,5615</v>
      </c>
      <c r="E26" s="11" t="s">
        <v>193</v>
      </c>
      <c r="F26" s="11" t="s">
        <v>194</v>
      </c>
      <c r="G26" s="12" t="s">
        <v>51</v>
      </c>
      <c r="H26" s="12" t="s">
        <v>20</v>
      </c>
      <c r="I26" s="13" t="s">
        <v>228</v>
      </c>
      <c r="J26" s="13"/>
      <c r="K26" s="11" t="str">
        <f>"125,0"</f>
        <v>125,0</v>
      </c>
      <c r="L26" s="12" t="str">
        <f>"70,1813"</f>
        <v>70,1813</v>
      </c>
      <c r="M26" s="11" t="s">
        <v>195</v>
      </c>
    </row>
    <row r="27" spans="1:13" ht="12.75">
      <c r="A27" s="14" t="s">
        <v>230</v>
      </c>
      <c r="B27" s="14" t="s">
        <v>231</v>
      </c>
      <c r="C27" s="14" t="s">
        <v>232</v>
      </c>
      <c r="D27" s="14" t="str">
        <f>"0,5770"</f>
        <v>0,5770</v>
      </c>
      <c r="E27" s="14" t="s">
        <v>193</v>
      </c>
      <c r="F27" s="14" t="s">
        <v>194</v>
      </c>
      <c r="G27" s="17" t="s">
        <v>102</v>
      </c>
      <c r="H27" s="17" t="s">
        <v>117</v>
      </c>
      <c r="I27" s="17" t="s">
        <v>40</v>
      </c>
      <c r="J27" s="15"/>
      <c r="K27" s="14" t="str">
        <f>"115,0"</f>
        <v>115,0</v>
      </c>
      <c r="L27" s="17" t="str">
        <f>"66,3550"</f>
        <v>66,3550</v>
      </c>
      <c r="M27" s="14" t="s">
        <v>195</v>
      </c>
    </row>
    <row r="29" spans="1:12" ht="15">
      <c r="A29" s="52" t="s">
        <v>166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ht="12.75">
      <c r="A30" s="5" t="s">
        <v>234</v>
      </c>
      <c r="B30" s="5" t="s">
        <v>235</v>
      </c>
      <c r="C30" s="5" t="s">
        <v>236</v>
      </c>
      <c r="D30" s="5" t="str">
        <f>"0,5378"</f>
        <v>0,5378</v>
      </c>
      <c r="E30" s="5" t="s">
        <v>33</v>
      </c>
      <c r="F30" s="5" t="s">
        <v>49</v>
      </c>
      <c r="G30" s="7" t="s">
        <v>21</v>
      </c>
      <c r="H30" s="7" t="s">
        <v>144</v>
      </c>
      <c r="I30" s="7" t="s">
        <v>145</v>
      </c>
      <c r="J30" s="6"/>
      <c r="K30" s="5" t="str">
        <f>"155,0"</f>
        <v>155,0</v>
      </c>
      <c r="L30" s="7" t="str">
        <f>"83,3513"</f>
        <v>83,3513</v>
      </c>
      <c r="M30" s="5" t="s">
        <v>178</v>
      </c>
    </row>
    <row r="32" spans="1:12" ht="15">
      <c r="A32" s="52" t="s">
        <v>237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3" ht="12.75">
      <c r="A33" s="8" t="s">
        <v>239</v>
      </c>
      <c r="B33" s="8" t="s">
        <v>240</v>
      </c>
      <c r="C33" s="8" t="s">
        <v>241</v>
      </c>
      <c r="D33" s="8" t="str">
        <f>"0,5298"</f>
        <v>0,5298</v>
      </c>
      <c r="E33" s="8" t="s">
        <v>123</v>
      </c>
      <c r="F33" s="8" t="s">
        <v>49</v>
      </c>
      <c r="G33" s="9" t="s">
        <v>164</v>
      </c>
      <c r="H33" s="9" t="s">
        <v>61</v>
      </c>
      <c r="I33" s="10" t="s">
        <v>35</v>
      </c>
      <c r="J33" s="10"/>
      <c r="K33" s="8" t="str">
        <f>"180,0"</f>
        <v>180,0</v>
      </c>
      <c r="L33" s="9" t="str">
        <f>"95,3640"</f>
        <v>95,3640</v>
      </c>
      <c r="M33" s="8" t="s">
        <v>44</v>
      </c>
    </row>
    <row r="34" spans="1:13" ht="12.75">
      <c r="A34" s="14" t="s">
        <v>242</v>
      </c>
      <c r="B34" s="14" t="s">
        <v>243</v>
      </c>
      <c r="C34" s="14" t="s">
        <v>244</v>
      </c>
      <c r="D34" s="14" t="str">
        <f>"0,5296"</f>
        <v>0,5296</v>
      </c>
      <c r="E34" s="14" t="s">
        <v>193</v>
      </c>
      <c r="F34" s="14" t="s">
        <v>194</v>
      </c>
      <c r="G34" s="17" t="s">
        <v>25</v>
      </c>
      <c r="H34" s="17" t="s">
        <v>245</v>
      </c>
      <c r="I34" s="15"/>
      <c r="J34" s="15"/>
      <c r="K34" s="14" t="str">
        <f>"147,5"</f>
        <v>147,5</v>
      </c>
      <c r="L34" s="17" t="str">
        <f>"111,7059"</f>
        <v>111,7059</v>
      </c>
      <c r="M34" s="14" t="s">
        <v>195</v>
      </c>
    </row>
    <row r="36" spans="5:6" ht="15">
      <c r="E36" s="16" t="s">
        <v>79</v>
      </c>
      <c r="F36" s="16" t="s">
        <v>798</v>
      </c>
    </row>
    <row r="37" spans="5:6" ht="15">
      <c r="E37" s="16" t="s">
        <v>80</v>
      </c>
      <c r="F37" s="16" t="s">
        <v>799</v>
      </c>
    </row>
    <row r="38" spans="5:6" ht="15">
      <c r="E38" s="16" t="s">
        <v>81</v>
      </c>
      <c r="F38" s="16" t="s">
        <v>807</v>
      </c>
    </row>
    <row r="39" spans="5:6" ht="15">
      <c r="E39" s="16" t="s">
        <v>82</v>
      </c>
      <c r="F39" s="16" t="s">
        <v>809</v>
      </c>
    </row>
    <row r="40" spans="5:6" ht="15">
      <c r="E40" s="16" t="s">
        <v>82</v>
      </c>
      <c r="F40" s="16" t="s">
        <v>808</v>
      </c>
    </row>
    <row r="42" ht="15">
      <c r="E42" s="16"/>
    </row>
    <row r="44" spans="1:2" ht="18">
      <c r="A44" s="18" t="s">
        <v>83</v>
      </c>
      <c r="B44" s="18"/>
    </row>
    <row r="45" spans="1:2" ht="15">
      <c r="A45" s="19" t="s">
        <v>92</v>
      </c>
      <c r="B45" s="19"/>
    </row>
    <row r="46" spans="1:2" ht="14.25">
      <c r="A46" s="21"/>
      <c r="B46" s="22" t="s">
        <v>85</v>
      </c>
    </row>
    <row r="47" spans="1:5" ht="15">
      <c r="A47" s="23" t="s">
        <v>86</v>
      </c>
      <c r="B47" s="23" t="s">
        <v>87</v>
      </c>
      <c r="C47" s="23" t="s">
        <v>88</v>
      </c>
      <c r="D47" s="23" t="s">
        <v>89</v>
      </c>
      <c r="E47" s="23" t="s">
        <v>90</v>
      </c>
    </row>
    <row r="48" spans="1:5" ht="12.75">
      <c r="A48" s="20" t="s">
        <v>238</v>
      </c>
      <c r="B48" s="4" t="s">
        <v>85</v>
      </c>
      <c r="C48" s="4" t="s">
        <v>246</v>
      </c>
      <c r="D48" s="4" t="s">
        <v>61</v>
      </c>
      <c r="E48" s="24" t="s">
        <v>247</v>
      </c>
    </row>
    <row r="49" spans="1:5" ht="12.75">
      <c r="A49" s="20" t="s">
        <v>184</v>
      </c>
      <c r="B49" s="4" t="s">
        <v>85</v>
      </c>
      <c r="C49" s="4" t="s">
        <v>93</v>
      </c>
      <c r="D49" s="4" t="s">
        <v>106</v>
      </c>
      <c r="E49" s="24" t="s">
        <v>248</v>
      </c>
    </row>
    <row r="50" spans="1:5" ht="12.75">
      <c r="A50" s="20" t="s">
        <v>179</v>
      </c>
      <c r="B50" s="4" t="s">
        <v>85</v>
      </c>
      <c r="C50" s="4" t="s">
        <v>173</v>
      </c>
      <c r="D50" s="4" t="s">
        <v>51</v>
      </c>
      <c r="E50" s="24" t="s">
        <v>249</v>
      </c>
    </row>
    <row r="51" spans="1:5" ht="12.75">
      <c r="A51" s="20" t="s">
        <v>219</v>
      </c>
      <c r="B51" s="4" t="s">
        <v>85</v>
      </c>
      <c r="C51" s="4" t="s">
        <v>94</v>
      </c>
      <c r="D51" s="4" t="s">
        <v>26</v>
      </c>
      <c r="E51" s="24" t="s">
        <v>250</v>
      </c>
    </row>
    <row r="52" spans="1:5" ht="12.75">
      <c r="A52" s="20" t="s">
        <v>233</v>
      </c>
      <c r="B52" s="4" t="s">
        <v>85</v>
      </c>
      <c r="C52" s="4" t="s">
        <v>174</v>
      </c>
      <c r="D52" s="4" t="s">
        <v>145</v>
      </c>
      <c r="E52" s="24" t="s">
        <v>251</v>
      </c>
    </row>
    <row r="53" spans="1:5" ht="12.75">
      <c r="A53" s="20" t="s">
        <v>196</v>
      </c>
      <c r="B53" s="4" t="s">
        <v>85</v>
      </c>
      <c r="C53" s="4" t="s">
        <v>95</v>
      </c>
      <c r="D53" s="4" t="s">
        <v>20</v>
      </c>
      <c r="E53" s="24" t="s">
        <v>252</v>
      </c>
    </row>
    <row r="54" spans="1:5" ht="12.75">
      <c r="A54" s="20" t="s">
        <v>200</v>
      </c>
      <c r="B54" s="4" t="s">
        <v>85</v>
      </c>
      <c r="C54" s="4" t="s">
        <v>95</v>
      </c>
      <c r="D54" s="4" t="s">
        <v>51</v>
      </c>
      <c r="E54" s="24" t="s">
        <v>253</v>
      </c>
    </row>
    <row r="55" spans="1:5" ht="12.75">
      <c r="A55" s="20" t="s">
        <v>206</v>
      </c>
      <c r="B55" s="4" t="s">
        <v>85</v>
      </c>
      <c r="C55" s="4" t="s">
        <v>254</v>
      </c>
      <c r="D55" s="4" t="s">
        <v>20</v>
      </c>
      <c r="E55" s="24" t="s">
        <v>255</v>
      </c>
    </row>
    <row r="56" spans="1:5" ht="12.75">
      <c r="A56" s="20" t="s">
        <v>210</v>
      </c>
      <c r="B56" s="4" t="s">
        <v>85</v>
      </c>
      <c r="C56" s="4" t="s">
        <v>254</v>
      </c>
      <c r="D56" s="4" t="s">
        <v>51</v>
      </c>
      <c r="E56" s="24" t="s">
        <v>256</v>
      </c>
    </row>
    <row r="57" spans="1:5" ht="12.75">
      <c r="A57" s="20" t="s">
        <v>224</v>
      </c>
      <c r="B57" s="4" t="s">
        <v>85</v>
      </c>
      <c r="C57" s="4" t="s">
        <v>94</v>
      </c>
      <c r="D57" s="4" t="s">
        <v>20</v>
      </c>
      <c r="E57" s="24" t="s">
        <v>257</v>
      </c>
    </row>
    <row r="58" spans="1:5" ht="12.75">
      <c r="A58" s="20" t="s">
        <v>229</v>
      </c>
      <c r="B58" s="4" t="s">
        <v>85</v>
      </c>
      <c r="C58" s="4" t="s">
        <v>94</v>
      </c>
      <c r="D58" s="4" t="s">
        <v>40</v>
      </c>
      <c r="E58" s="24" t="s">
        <v>258</v>
      </c>
    </row>
  </sheetData>
  <sheetProtection/>
  <mergeCells count="19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5:L15"/>
    <mergeCell ref="A19:L19"/>
    <mergeCell ref="A23:L23"/>
    <mergeCell ref="A29:L29"/>
    <mergeCell ref="A32:L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7.875" style="4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25.75390625" style="4" bestFit="1" customWidth="1"/>
    <col min="7" max="7" width="4.625" style="3" bestFit="1" customWidth="1"/>
    <col min="8" max="8" width="4.625" style="26" bestFit="1" customWidth="1"/>
    <col min="9" max="9" width="7.75390625" style="4" bestFit="1" customWidth="1"/>
    <col min="10" max="10" width="9.625" style="3" bestFit="1" customWidth="1"/>
    <col min="11" max="11" width="13.125" style="4" bestFit="1" customWidth="1"/>
    <col min="12" max="16384" width="9.125" style="3" customWidth="1"/>
  </cols>
  <sheetData>
    <row r="1" spans="1:11" s="2" customFormat="1" ht="28.5" customHeight="1">
      <c r="A1" s="60" t="s">
        <v>824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573</v>
      </c>
      <c r="E3" s="54" t="s">
        <v>4</v>
      </c>
      <c r="F3" s="54" t="s">
        <v>8</v>
      </c>
      <c r="G3" s="54" t="s">
        <v>574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13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5" t="s">
        <v>270</v>
      </c>
      <c r="B6" s="5" t="s">
        <v>271</v>
      </c>
      <c r="C6" s="5" t="s">
        <v>272</v>
      </c>
      <c r="D6" s="5" t="str">
        <f>"0,9686"</f>
        <v>0,9686</v>
      </c>
      <c r="E6" s="5" t="s">
        <v>156</v>
      </c>
      <c r="F6" s="5" t="s">
        <v>157</v>
      </c>
      <c r="G6" s="7" t="s">
        <v>285</v>
      </c>
      <c r="H6" s="25" t="s">
        <v>588</v>
      </c>
      <c r="I6" s="5" t="str">
        <f>"660,0"</f>
        <v>660,0</v>
      </c>
      <c r="J6" s="7" t="str">
        <f>"639,2760"</f>
        <v>639,2760</v>
      </c>
      <c r="K6" s="5" t="s">
        <v>160</v>
      </c>
    </row>
    <row r="8" spans="1:10" ht="15">
      <c r="A8" s="52" t="s">
        <v>96</v>
      </c>
      <c r="B8" s="53"/>
      <c r="C8" s="53"/>
      <c r="D8" s="53"/>
      <c r="E8" s="53"/>
      <c r="F8" s="53"/>
      <c r="G8" s="53"/>
      <c r="H8" s="53"/>
      <c r="I8" s="53"/>
      <c r="J8" s="53"/>
    </row>
    <row r="9" spans="1:11" ht="12.75">
      <c r="A9" s="8" t="s">
        <v>280</v>
      </c>
      <c r="B9" s="8" t="s">
        <v>281</v>
      </c>
      <c r="C9" s="8" t="s">
        <v>589</v>
      </c>
      <c r="D9" s="8" t="str">
        <f>"1,1954"</f>
        <v>1,1954</v>
      </c>
      <c r="E9" s="8" t="s">
        <v>193</v>
      </c>
      <c r="F9" s="8" t="s">
        <v>194</v>
      </c>
      <c r="G9" s="9" t="s">
        <v>590</v>
      </c>
      <c r="H9" s="27" t="s">
        <v>283</v>
      </c>
      <c r="I9" s="8" t="str">
        <f>"450,0"</f>
        <v>450,0</v>
      </c>
      <c r="J9" s="9" t="str">
        <f>"537,9300"</f>
        <v>537,9300</v>
      </c>
      <c r="K9" s="8" t="s">
        <v>195</v>
      </c>
    </row>
    <row r="10" spans="1:11" ht="12.75">
      <c r="A10" s="14" t="s">
        <v>286</v>
      </c>
      <c r="B10" s="14" t="s">
        <v>287</v>
      </c>
      <c r="C10" s="14" t="s">
        <v>288</v>
      </c>
      <c r="D10" s="14" t="str">
        <f>"1,0196"</f>
        <v>1,0196</v>
      </c>
      <c r="E10" s="14" t="s">
        <v>193</v>
      </c>
      <c r="F10" s="14" t="s">
        <v>194</v>
      </c>
      <c r="G10" s="17" t="s">
        <v>285</v>
      </c>
      <c r="H10" s="28" t="s">
        <v>591</v>
      </c>
      <c r="I10" s="14" t="str">
        <f>"1292,5"</f>
        <v>1292,5</v>
      </c>
      <c r="J10" s="17" t="str">
        <f>"1317,8330"</f>
        <v>1317,8330</v>
      </c>
      <c r="K10" s="14" t="s">
        <v>195</v>
      </c>
    </row>
    <row r="12" spans="5:6" ht="15">
      <c r="E12" s="16" t="s">
        <v>79</v>
      </c>
      <c r="F12" s="16" t="s">
        <v>798</v>
      </c>
    </row>
    <row r="13" spans="5:6" ht="15">
      <c r="E13" s="16" t="s">
        <v>80</v>
      </c>
      <c r="F13" s="16" t="s">
        <v>799</v>
      </c>
    </row>
    <row r="14" spans="5:6" ht="15">
      <c r="E14" s="16" t="s">
        <v>81</v>
      </c>
      <c r="F14" s="16" t="s">
        <v>808</v>
      </c>
    </row>
    <row r="15" spans="5:6" ht="15">
      <c r="E15" s="16" t="s">
        <v>82</v>
      </c>
      <c r="F15" s="16" t="s">
        <v>810</v>
      </c>
    </row>
    <row r="16" ht="15">
      <c r="E16" s="16"/>
    </row>
    <row r="18" ht="15">
      <c r="E18" s="16"/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37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34.0039062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825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573</v>
      </c>
      <c r="E3" s="54" t="s">
        <v>4</v>
      </c>
      <c r="F3" s="54" t="s">
        <v>8</v>
      </c>
      <c r="G3" s="54" t="s">
        <v>574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28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5" t="s">
        <v>575</v>
      </c>
      <c r="B6" s="5" t="s">
        <v>312</v>
      </c>
      <c r="C6" s="5" t="s">
        <v>313</v>
      </c>
      <c r="D6" s="5" t="str">
        <f>"0,8210"</f>
        <v>0,8210</v>
      </c>
      <c r="E6" s="5" t="s">
        <v>59</v>
      </c>
      <c r="F6" s="5" t="s">
        <v>49</v>
      </c>
      <c r="G6" s="7" t="s">
        <v>24</v>
      </c>
      <c r="H6" s="25" t="s">
        <v>576</v>
      </c>
      <c r="I6" s="5" t="str">
        <f>"1957,5"</f>
        <v>1957,5</v>
      </c>
      <c r="J6" s="7" t="str">
        <f>"1607,1075"</f>
        <v>1607,1075</v>
      </c>
      <c r="K6" s="5" t="s">
        <v>63</v>
      </c>
    </row>
    <row r="8" spans="1:10" ht="15">
      <c r="A8" s="52" t="s">
        <v>45</v>
      </c>
      <c r="B8" s="53"/>
      <c r="C8" s="53"/>
      <c r="D8" s="53"/>
      <c r="E8" s="53"/>
      <c r="F8" s="53"/>
      <c r="G8" s="53"/>
      <c r="H8" s="53"/>
      <c r="I8" s="53"/>
      <c r="J8" s="53"/>
    </row>
    <row r="9" spans="1:11" ht="12.75">
      <c r="A9" s="5" t="s">
        <v>577</v>
      </c>
      <c r="B9" s="5" t="s">
        <v>326</v>
      </c>
      <c r="C9" s="5" t="s">
        <v>327</v>
      </c>
      <c r="D9" s="5" t="str">
        <f>"0,7619"</f>
        <v>0,7619</v>
      </c>
      <c r="E9" s="5" t="s">
        <v>33</v>
      </c>
      <c r="F9" s="5" t="s">
        <v>328</v>
      </c>
      <c r="G9" s="7" t="s">
        <v>578</v>
      </c>
      <c r="H9" s="25" t="s">
        <v>579</v>
      </c>
      <c r="I9" s="5" t="str">
        <f>"2722,5"</f>
        <v>2722,5</v>
      </c>
      <c r="J9" s="7" t="str">
        <f>"2074,2728"</f>
        <v>2074,2728</v>
      </c>
      <c r="K9" s="5" t="s">
        <v>293</v>
      </c>
    </row>
    <row r="11" spans="1:10" ht="15">
      <c r="A11" s="52" t="s">
        <v>205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1" ht="12.75">
      <c r="A12" s="5" t="s">
        <v>580</v>
      </c>
      <c r="B12" s="5" t="s">
        <v>356</v>
      </c>
      <c r="C12" s="5" t="s">
        <v>357</v>
      </c>
      <c r="D12" s="5" t="str">
        <f>"0,7217"</f>
        <v>0,7217</v>
      </c>
      <c r="E12" s="5" t="s">
        <v>358</v>
      </c>
      <c r="F12" s="5" t="s">
        <v>49</v>
      </c>
      <c r="G12" s="7" t="s">
        <v>101</v>
      </c>
      <c r="H12" s="25" t="s">
        <v>581</v>
      </c>
      <c r="I12" s="5" t="str">
        <f>"1890,0"</f>
        <v>1890,0</v>
      </c>
      <c r="J12" s="7" t="str">
        <f>"1364,0130"</f>
        <v>1364,0130</v>
      </c>
      <c r="K12" s="5" t="s">
        <v>44</v>
      </c>
    </row>
    <row r="14" spans="1:10" ht="15">
      <c r="A14" s="52" t="s">
        <v>68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1" ht="12.75">
      <c r="A15" s="5" t="s">
        <v>582</v>
      </c>
      <c r="B15" s="5" t="s">
        <v>231</v>
      </c>
      <c r="C15" s="5" t="s">
        <v>232</v>
      </c>
      <c r="D15" s="5" t="str">
        <f>"0,7174"</f>
        <v>0,7174</v>
      </c>
      <c r="E15" s="5" t="s">
        <v>193</v>
      </c>
      <c r="F15" s="5" t="s">
        <v>194</v>
      </c>
      <c r="G15" s="7" t="s">
        <v>133</v>
      </c>
      <c r="H15" s="25" t="s">
        <v>583</v>
      </c>
      <c r="I15" s="5" t="str">
        <f>"1202,5"</f>
        <v>1202,5</v>
      </c>
      <c r="J15" s="7" t="str">
        <f>"862,6735"</f>
        <v>862,6735</v>
      </c>
      <c r="K15" s="5" t="s">
        <v>195</v>
      </c>
    </row>
    <row r="17" spans="1:10" ht="15">
      <c r="A17" s="52" t="s">
        <v>166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1" ht="12.75">
      <c r="A18" s="5" t="s">
        <v>368</v>
      </c>
      <c r="B18" s="5" t="s">
        <v>369</v>
      </c>
      <c r="C18" s="5" t="s">
        <v>370</v>
      </c>
      <c r="D18" s="5" t="str">
        <f>"0,6431"</f>
        <v>0,6431</v>
      </c>
      <c r="E18" s="5" t="s">
        <v>59</v>
      </c>
      <c r="F18" s="5" t="s">
        <v>49</v>
      </c>
      <c r="G18" s="7" t="s">
        <v>117</v>
      </c>
      <c r="H18" s="25" t="s">
        <v>584</v>
      </c>
      <c r="I18" s="5" t="str">
        <f>"1760,0"</f>
        <v>1760,0</v>
      </c>
      <c r="J18" s="7" t="str">
        <f>"1131,8560"</f>
        <v>1131,8560</v>
      </c>
      <c r="K18" s="5" t="s">
        <v>371</v>
      </c>
    </row>
    <row r="20" spans="5:6" ht="15">
      <c r="E20" s="16" t="s">
        <v>79</v>
      </c>
      <c r="F20" s="16" t="s">
        <v>798</v>
      </c>
    </row>
    <row r="21" spans="5:6" ht="15">
      <c r="E21" s="16" t="s">
        <v>80</v>
      </c>
      <c r="F21" s="16" t="s">
        <v>799</v>
      </c>
    </row>
    <row r="22" spans="5:6" ht="15">
      <c r="E22" s="16" t="s">
        <v>81</v>
      </c>
      <c r="F22" s="16" t="s">
        <v>808</v>
      </c>
    </row>
    <row r="23" spans="5:6" ht="15">
      <c r="E23" s="16" t="s">
        <v>82</v>
      </c>
      <c r="F23" s="16" t="s">
        <v>810</v>
      </c>
    </row>
    <row r="24" spans="5:6" ht="15">
      <c r="E24" s="16"/>
      <c r="F24" s="16"/>
    </row>
    <row r="25" spans="5:6" ht="15">
      <c r="E25" s="16"/>
      <c r="F25" s="16"/>
    </row>
    <row r="26" ht="15">
      <c r="E26" s="16"/>
    </row>
  </sheetData>
  <sheetProtection/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A14:J14"/>
    <mergeCell ref="A17:J17"/>
    <mergeCell ref="I3:I4"/>
    <mergeCell ref="J3:J4"/>
    <mergeCell ref="K3:K4"/>
    <mergeCell ref="A5:J5"/>
    <mergeCell ref="A8:J8"/>
    <mergeCell ref="A11:J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4.00390625" style="4" bestFit="1" customWidth="1"/>
    <col min="7" max="7" width="4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826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602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8" t="s">
        <v>610</v>
      </c>
      <c r="B6" s="8" t="s">
        <v>611</v>
      </c>
      <c r="C6" s="8" t="s">
        <v>612</v>
      </c>
      <c r="D6" s="8" t="str">
        <f aca="true" t="shared" si="0" ref="D6:D17">"1,0000"</f>
        <v>1,0000</v>
      </c>
      <c r="E6" s="8" t="s">
        <v>33</v>
      </c>
      <c r="F6" s="8" t="s">
        <v>49</v>
      </c>
      <c r="G6" s="9" t="s">
        <v>134</v>
      </c>
      <c r="H6" s="30" t="s">
        <v>613</v>
      </c>
      <c r="I6" s="8" t="str">
        <f>"1980,0"</f>
        <v>1980,0</v>
      </c>
      <c r="J6" s="9" t="str">
        <f>"27,5766"</f>
        <v>27,5766</v>
      </c>
      <c r="K6" s="8" t="s">
        <v>614</v>
      </c>
    </row>
    <row r="7" spans="1:11" ht="12.75">
      <c r="A7" s="11" t="s">
        <v>616</v>
      </c>
      <c r="B7" s="11" t="s">
        <v>617</v>
      </c>
      <c r="C7" s="11" t="s">
        <v>618</v>
      </c>
      <c r="D7" s="11" t="str">
        <f t="shared" si="0"/>
        <v>1,0000</v>
      </c>
      <c r="E7" s="11" t="s">
        <v>59</v>
      </c>
      <c r="F7" s="11" t="s">
        <v>49</v>
      </c>
      <c r="G7" s="12" t="s">
        <v>134</v>
      </c>
      <c r="H7" s="31" t="s">
        <v>111</v>
      </c>
      <c r="I7" s="11" t="str">
        <f>"4125,0"</f>
        <v>4125,0</v>
      </c>
      <c r="J7" s="12" t="str">
        <f>"44,5945"</f>
        <v>44,5945</v>
      </c>
      <c r="K7" s="11" t="s">
        <v>63</v>
      </c>
    </row>
    <row r="8" spans="1:11" ht="12.75">
      <c r="A8" s="11" t="s">
        <v>620</v>
      </c>
      <c r="B8" s="11" t="s">
        <v>621</v>
      </c>
      <c r="C8" s="11" t="s">
        <v>622</v>
      </c>
      <c r="D8" s="11" t="str">
        <f t="shared" si="0"/>
        <v>1,0000</v>
      </c>
      <c r="E8" s="11" t="s">
        <v>59</v>
      </c>
      <c r="F8" s="11" t="s">
        <v>49</v>
      </c>
      <c r="G8" s="12" t="s">
        <v>134</v>
      </c>
      <c r="H8" s="31" t="s">
        <v>623</v>
      </c>
      <c r="I8" s="11" t="str">
        <f>"4070,0"</f>
        <v>4070,0</v>
      </c>
      <c r="J8" s="12" t="str">
        <f>"44,5539"</f>
        <v>44,5539</v>
      </c>
      <c r="K8" s="11" t="s">
        <v>63</v>
      </c>
    </row>
    <row r="9" spans="1:11" ht="12.75">
      <c r="A9" s="11" t="s">
        <v>625</v>
      </c>
      <c r="B9" s="11" t="s">
        <v>626</v>
      </c>
      <c r="C9" s="11" t="s">
        <v>627</v>
      </c>
      <c r="D9" s="11" t="str">
        <f t="shared" si="0"/>
        <v>1,0000</v>
      </c>
      <c r="E9" s="11" t="s">
        <v>267</v>
      </c>
      <c r="F9" s="11" t="s">
        <v>268</v>
      </c>
      <c r="G9" s="12" t="s">
        <v>134</v>
      </c>
      <c r="H9" s="31" t="s">
        <v>628</v>
      </c>
      <c r="I9" s="11" t="str">
        <f>"4015,0"</f>
        <v>4015,0</v>
      </c>
      <c r="J9" s="12" t="str">
        <f>"42,1743"</f>
        <v>42,1743</v>
      </c>
      <c r="K9" s="11" t="s">
        <v>44</v>
      </c>
    </row>
    <row r="10" spans="1:11" ht="12.75">
      <c r="A10" s="11" t="s">
        <v>630</v>
      </c>
      <c r="B10" s="11" t="s">
        <v>631</v>
      </c>
      <c r="C10" s="11" t="s">
        <v>232</v>
      </c>
      <c r="D10" s="11" t="str">
        <f t="shared" si="0"/>
        <v>1,0000</v>
      </c>
      <c r="E10" s="11" t="s">
        <v>72</v>
      </c>
      <c r="F10" s="11" t="s">
        <v>49</v>
      </c>
      <c r="G10" s="12" t="s">
        <v>134</v>
      </c>
      <c r="H10" s="31" t="s">
        <v>632</v>
      </c>
      <c r="I10" s="11" t="str">
        <f>"3190,0"</f>
        <v>3190,0</v>
      </c>
      <c r="J10" s="12" t="str">
        <f>"34,5799"</f>
        <v>34,5799</v>
      </c>
      <c r="K10" s="11" t="s">
        <v>44</v>
      </c>
    </row>
    <row r="11" spans="1:11" ht="12.75">
      <c r="A11" s="11" t="s">
        <v>633</v>
      </c>
      <c r="B11" s="11" t="s">
        <v>309</v>
      </c>
      <c r="C11" s="11" t="s">
        <v>306</v>
      </c>
      <c r="D11" s="11" t="str">
        <f t="shared" si="0"/>
        <v>1,0000</v>
      </c>
      <c r="E11" s="11" t="s">
        <v>72</v>
      </c>
      <c r="F11" s="11" t="s">
        <v>49</v>
      </c>
      <c r="G11" s="12" t="s">
        <v>134</v>
      </c>
      <c r="H11" s="31" t="s">
        <v>634</v>
      </c>
      <c r="I11" s="11" t="str">
        <f>"3135,0"</f>
        <v>3135,0</v>
      </c>
      <c r="J11" s="12" t="str">
        <f>"41,9678"</f>
        <v>41,9678</v>
      </c>
      <c r="K11" s="11" t="s">
        <v>44</v>
      </c>
    </row>
    <row r="12" spans="1:11" ht="12.75">
      <c r="A12" s="11" t="s">
        <v>635</v>
      </c>
      <c r="B12" s="11" t="s">
        <v>419</v>
      </c>
      <c r="C12" s="11" t="s">
        <v>420</v>
      </c>
      <c r="D12" s="11" t="str">
        <f t="shared" si="0"/>
        <v>1,0000</v>
      </c>
      <c r="E12" s="11" t="s">
        <v>33</v>
      </c>
      <c r="F12" s="11" t="s">
        <v>49</v>
      </c>
      <c r="G12" s="12" t="s">
        <v>134</v>
      </c>
      <c r="H12" s="31" t="s">
        <v>151</v>
      </c>
      <c r="I12" s="11" t="str">
        <f>"2750,0"</f>
        <v>2750,0</v>
      </c>
      <c r="J12" s="12" t="str">
        <f>"33,3737"</f>
        <v>33,3737</v>
      </c>
      <c r="K12" s="11" t="s">
        <v>78</v>
      </c>
    </row>
    <row r="13" spans="1:11" ht="12.75">
      <c r="A13" s="11" t="s">
        <v>636</v>
      </c>
      <c r="B13" s="11" t="s">
        <v>202</v>
      </c>
      <c r="C13" s="11" t="s">
        <v>203</v>
      </c>
      <c r="D13" s="11" t="str">
        <f t="shared" si="0"/>
        <v>1,0000</v>
      </c>
      <c r="E13" s="11" t="s">
        <v>33</v>
      </c>
      <c r="F13" s="11" t="s">
        <v>204</v>
      </c>
      <c r="G13" s="12" t="s">
        <v>134</v>
      </c>
      <c r="H13" s="31" t="s">
        <v>637</v>
      </c>
      <c r="I13" s="11" t="str">
        <f>"2640,0"</f>
        <v>2640,0</v>
      </c>
      <c r="J13" s="12" t="str">
        <f>"32,5123"</f>
        <v>32,5123</v>
      </c>
      <c r="K13" s="11" t="s">
        <v>44</v>
      </c>
    </row>
    <row r="14" spans="1:11" ht="12.75">
      <c r="A14" s="11" t="s">
        <v>639</v>
      </c>
      <c r="B14" s="11" t="s">
        <v>640</v>
      </c>
      <c r="C14" s="11" t="s">
        <v>420</v>
      </c>
      <c r="D14" s="11" t="str">
        <f t="shared" si="0"/>
        <v>1,0000</v>
      </c>
      <c r="E14" s="11" t="s">
        <v>72</v>
      </c>
      <c r="F14" s="11" t="s">
        <v>49</v>
      </c>
      <c r="G14" s="12" t="s">
        <v>134</v>
      </c>
      <c r="H14" s="31" t="s">
        <v>591</v>
      </c>
      <c r="I14" s="11" t="str">
        <f>"2585,0"</f>
        <v>2585,0</v>
      </c>
      <c r="J14" s="12" t="str">
        <f>"31,3713"</f>
        <v>31,3713</v>
      </c>
      <c r="K14" s="11" t="s">
        <v>44</v>
      </c>
    </row>
    <row r="15" spans="1:11" ht="12.75">
      <c r="A15" s="11" t="s">
        <v>642</v>
      </c>
      <c r="B15" s="11" t="s">
        <v>643</v>
      </c>
      <c r="C15" s="11" t="s">
        <v>644</v>
      </c>
      <c r="D15" s="11" t="str">
        <f t="shared" si="0"/>
        <v>1,0000</v>
      </c>
      <c r="E15" s="11" t="s">
        <v>297</v>
      </c>
      <c r="F15" s="11" t="s">
        <v>49</v>
      </c>
      <c r="G15" s="12" t="s">
        <v>134</v>
      </c>
      <c r="H15" s="31" t="s">
        <v>607</v>
      </c>
      <c r="I15" s="11" t="str">
        <f>"2090,0"</f>
        <v>2090,0</v>
      </c>
      <c r="J15" s="12" t="str">
        <f>"28,0160"</f>
        <v>28,0160</v>
      </c>
      <c r="K15" s="11" t="s">
        <v>44</v>
      </c>
    </row>
    <row r="16" spans="1:11" ht="12.75">
      <c r="A16" s="11" t="s">
        <v>242</v>
      </c>
      <c r="B16" s="11" t="s">
        <v>243</v>
      </c>
      <c r="C16" s="11" t="s">
        <v>244</v>
      </c>
      <c r="D16" s="11" t="str">
        <f t="shared" si="0"/>
        <v>1,0000</v>
      </c>
      <c r="E16" s="11" t="s">
        <v>193</v>
      </c>
      <c r="F16" s="11" t="s">
        <v>194</v>
      </c>
      <c r="G16" s="12" t="s">
        <v>134</v>
      </c>
      <c r="H16" s="31" t="s">
        <v>645</v>
      </c>
      <c r="I16" s="11" t="str">
        <f>"3795,0"</f>
        <v>3795,0</v>
      </c>
      <c r="J16" s="12" t="str">
        <f>"32,4358"</f>
        <v>32,4358</v>
      </c>
      <c r="K16" s="11" t="s">
        <v>195</v>
      </c>
    </row>
    <row r="17" spans="1:11" ht="12.75">
      <c r="A17" s="14" t="s">
        <v>646</v>
      </c>
      <c r="B17" s="14" t="s">
        <v>191</v>
      </c>
      <c r="C17" s="14" t="s">
        <v>192</v>
      </c>
      <c r="D17" s="14" t="str">
        <f t="shared" si="0"/>
        <v>1,0000</v>
      </c>
      <c r="E17" s="14" t="s">
        <v>193</v>
      </c>
      <c r="F17" s="14" t="s">
        <v>194</v>
      </c>
      <c r="G17" s="17" t="s">
        <v>134</v>
      </c>
      <c r="H17" s="32" t="s">
        <v>632</v>
      </c>
      <c r="I17" s="14" t="str">
        <f>"3190,0"</f>
        <v>3190,0</v>
      </c>
      <c r="J17" s="17" t="str">
        <f>"42,9919"</f>
        <v>42,9919</v>
      </c>
      <c r="K17" s="14" t="s">
        <v>195</v>
      </c>
    </row>
    <row r="19" spans="5:6" ht="15">
      <c r="E19" s="16" t="s">
        <v>79</v>
      </c>
      <c r="F19" s="16" t="s">
        <v>798</v>
      </c>
    </row>
    <row r="20" spans="5:6" ht="15">
      <c r="E20" s="16" t="s">
        <v>80</v>
      </c>
      <c r="F20" s="16" t="s">
        <v>799</v>
      </c>
    </row>
    <row r="21" spans="5:6" ht="15">
      <c r="E21" s="16" t="s">
        <v>81</v>
      </c>
      <c r="F21" s="16" t="s">
        <v>808</v>
      </c>
    </row>
    <row r="22" spans="5:6" ht="15">
      <c r="E22" s="16" t="s">
        <v>82</v>
      </c>
      <c r="F22" s="16" t="s">
        <v>810</v>
      </c>
    </row>
    <row r="23" spans="5:6" ht="15">
      <c r="E23" s="16"/>
      <c r="F23" s="16"/>
    </row>
    <row r="25" ht="15">
      <c r="E25" s="16"/>
    </row>
    <row r="27" spans="1:2" ht="18">
      <c r="A27" s="18" t="s">
        <v>83</v>
      </c>
      <c r="B27" s="18"/>
    </row>
    <row r="28" spans="1:2" ht="15">
      <c r="A28" s="19" t="s">
        <v>92</v>
      </c>
      <c r="B28" s="19"/>
    </row>
    <row r="29" spans="1:2" ht="14.25">
      <c r="A29" s="21"/>
      <c r="B29" s="22" t="s">
        <v>85</v>
      </c>
    </row>
    <row r="30" spans="1:5" ht="15">
      <c r="A30" s="23" t="s">
        <v>86</v>
      </c>
      <c r="B30" s="23" t="s">
        <v>87</v>
      </c>
      <c r="C30" s="23" t="s">
        <v>88</v>
      </c>
      <c r="D30" s="23" t="s">
        <v>89</v>
      </c>
      <c r="E30" s="23" t="s">
        <v>608</v>
      </c>
    </row>
    <row r="31" spans="1:5" ht="12.75">
      <c r="A31" s="20" t="s">
        <v>615</v>
      </c>
      <c r="B31" s="4" t="s">
        <v>85</v>
      </c>
      <c r="C31" s="4" t="s">
        <v>609</v>
      </c>
      <c r="D31" s="4" t="s">
        <v>647</v>
      </c>
      <c r="E31" s="24" t="s">
        <v>648</v>
      </c>
    </row>
    <row r="32" spans="1:5" ht="12.75">
      <c r="A32" s="20" t="s">
        <v>619</v>
      </c>
      <c r="B32" s="4" t="s">
        <v>85</v>
      </c>
      <c r="C32" s="4" t="s">
        <v>609</v>
      </c>
      <c r="D32" s="4" t="s">
        <v>649</v>
      </c>
      <c r="E32" s="24" t="s">
        <v>650</v>
      </c>
    </row>
    <row r="33" spans="1:5" ht="12.75">
      <c r="A33" s="20" t="s">
        <v>624</v>
      </c>
      <c r="B33" s="4" t="s">
        <v>85</v>
      </c>
      <c r="C33" s="4" t="s">
        <v>609</v>
      </c>
      <c r="D33" s="4" t="s">
        <v>651</v>
      </c>
      <c r="E33" s="24" t="s">
        <v>652</v>
      </c>
    </row>
    <row r="34" spans="1:5" ht="12.75">
      <c r="A34" s="20" t="s">
        <v>307</v>
      </c>
      <c r="B34" s="4" t="s">
        <v>85</v>
      </c>
      <c r="C34" s="4" t="s">
        <v>609</v>
      </c>
      <c r="D34" s="4" t="s">
        <v>653</v>
      </c>
      <c r="E34" s="24" t="s">
        <v>654</v>
      </c>
    </row>
    <row r="35" spans="1:5" ht="12.75">
      <c r="A35" s="20" t="s">
        <v>629</v>
      </c>
      <c r="B35" s="4" t="s">
        <v>85</v>
      </c>
      <c r="C35" s="4" t="s">
        <v>609</v>
      </c>
      <c r="D35" s="4" t="s">
        <v>655</v>
      </c>
      <c r="E35" s="24" t="s">
        <v>656</v>
      </c>
    </row>
    <row r="36" spans="1:5" ht="12.75">
      <c r="A36" s="20" t="s">
        <v>417</v>
      </c>
      <c r="B36" s="4" t="s">
        <v>85</v>
      </c>
      <c r="C36" s="4" t="s">
        <v>609</v>
      </c>
      <c r="D36" s="4" t="s">
        <v>657</v>
      </c>
      <c r="E36" s="24" t="s">
        <v>658</v>
      </c>
    </row>
    <row r="37" spans="1:5" ht="12.75">
      <c r="A37" s="20" t="s">
        <v>200</v>
      </c>
      <c r="B37" s="4" t="s">
        <v>85</v>
      </c>
      <c r="C37" s="4" t="s">
        <v>609</v>
      </c>
      <c r="D37" s="4" t="s">
        <v>659</v>
      </c>
      <c r="E37" s="24" t="s">
        <v>660</v>
      </c>
    </row>
    <row r="38" spans="1:5" ht="12.75">
      <c r="A38" s="20" t="s">
        <v>638</v>
      </c>
      <c r="B38" s="4" t="s">
        <v>85</v>
      </c>
      <c r="C38" s="4" t="s">
        <v>609</v>
      </c>
      <c r="D38" s="4" t="s">
        <v>661</v>
      </c>
      <c r="E38" s="24" t="s">
        <v>662</v>
      </c>
    </row>
    <row r="39" spans="1:5" ht="12.75">
      <c r="A39" s="20" t="s">
        <v>641</v>
      </c>
      <c r="B39" s="4" t="s">
        <v>85</v>
      </c>
      <c r="C39" s="4" t="s">
        <v>609</v>
      </c>
      <c r="D39" s="4" t="s">
        <v>663</v>
      </c>
      <c r="E39" s="24" t="s">
        <v>664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5.75390625" style="4" bestFit="1" customWidth="1"/>
    <col min="7" max="7" width="4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3.125" style="4" bestFit="1" customWidth="1"/>
    <col min="12" max="16384" width="9.125" style="3" customWidth="1"/>
  </cols>
  <sheetData>
    <row r="1" spans="1:11" s="2" customFormat="1" ht="28.5" customHeight="1">
      <c r="A1" s="60" t="s">
        <v>827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602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8" t="s">
        <v>362</v>
      </c>
      <c r="B6" s="8" t="s">
        <v>226</v>
      </c>
      <c r="C6" s="8" t="s">
        <v>227</v>
      </c>
      <c r="D6" s="8" t="str">
        <f>"1,0000"</f>
        <v>1,0000</v>
      </c>
      <c r="E6" s="8" t="s">
        <v>193</v>
      </c>
      <c r="F6" s="8" t="s">
        <v>194</v>
      </c>
      <c r="G6" s="9" t="s">
        <v>111</v>
      </c>
      <c r="H6" s="30" t="s">
        <v>665</v>
      </c>
      <c r="I6" s="8" t="str">
        <f>"2775,0"</f>
        <v>2775,0</v>
      </c>
      <c r="J6" s="9" t="str">
        <f>"28,5640"</f>
        <v>28,5640</v>
      </c>
      <c r="K6" s="8" t="s">
        <v>195</v>
      </c>
    </row>
    <row r="7" spans="1:11" ht="12.75">
      <c r="A7" s="11" t="s">
        <v>666</v>
      </c>
      <c r="B7" s="11" t="s">
        <v>208</v>
      </c>
      <c r="C7" s="11" t="s">
        <v>209</v>
      </c>
      <c r="D7" s="11" t="str">
        <f>"1,0000"</f>
        <v>1,0000</v>
      </c>
      <c r="E7" s="11" t="s">
        <v>193</v>
      </c>
      <c r="F7" s="11" t="s">
        <v>194</v>
      </c>
      <c r="G7" s="12" t="s">
        <v>111</v>
      </c>
      <c r="H7" s="31" t="s">
        <v>576</v>
      </c>
      <c r="I7" s="11" t="str">
        <f>"2025,0"</f>
        <v>2025,0</v>
      </c>
      <c r="J7" s="12" t="str">
        <f>"22,7145"</f>
        <v>22,7145</v>
      </c>
      <c r="K7" s="11" t="s">
        <v>195</v>
      </c>
    </row>
    <row r="8" spans="1:11" ht="12.75">
      <c r="A8" s="11" t="s">
        <v>667</v>
      </c>
      <c r="B8" s="11" t="s">
        <v>212</v>
      </c>
      <c r="C8" s="11" t="s">
        <v>213</v>
      </c>
      <c r="D8" s="11" t="str">
        <f>"1,0000"</f>
        <v>1,0000</v>
      </c>
      <c r="E8" s="11" t="s">
        <v>193</v>
      </c>
      <c r="F8" s="11" t="s">
        <v>194</v>
      </c>
      <c r="G8" s="12" t="s">
        <v>111</v>
      </c>
      <c r="H8" s="31" t="s">
        <v>668</v>
      </c>
      <c r="I8" s="11" t="str">
        <f>"1950,0"</f>
        <v>1950,0</v>
      </c>
      <c r="J8" s="12" t="str">
        <f>"21,6787"</f>
        <v>21,6787</v>
      </c>
      <c r="K8" s="11" t="s">
        <v>195</v>
      </c>
    </row>
    <row r="9" spans="1:11" ht="12.75">
      <c r="A9" s="11" t="s">
        <v>669</v>
      </c>
      <c r="B9" s="11" t="s">
        <v>231</v>
      </c>
      <c r="C9" s="11" t="s">
        <v>232</v>
      </c>
      <c r="D9" s="11" t="str">
        <f>"1,0000"</f>
        <v>1,0000</v>
      </c>
      <c r="E9" s="11" t="s">
        <v>193</v>
      </c>
      <c r="F9" s="11" t="s">
        <v>194</v>
      </c>
      <c r="G9" s="12" t="s">
        <v>111</v>
      </c>
      <c r="H9" s="31" t="s">
        <v>670</v>
      </c>
      <c r="I9" s="11" t="str">
        <f>"1650,0"</f>
        <v>1650,0</v>
      </c>
      <c r="J9" s="12" t="str">
        <f>"17,8861"</f>
        <v>17,8861</v>
      </c>
      <c r="K9" s="11" t="s">
        <v>195</v>
      </c>
    </row>
    <row r="10" spans="1:11" ht="12.75">
      <c r="A10" s="14" t="s">
        <v>242</v>
      </c>
      <c r="B10" s="14" t="s">
        <v>243</v>
      </c>
      <c r="C10" s="14" t="s">
        <v>244</v>
      </c>
      <c r="D10" s="14" t="str">
        <f>"1,0000"</f>
        <v>1,0000</v>
      </c>
      <c r="E10" s="14" t="s">
        <v>193</v>
      </c>
      <c r="F10" s="14" t="s">
        <v>194</v>
      </c>
      <c r="G10" s="17" t="s">
        <v>111</v>
      </c>
      <c r="H10" s="32" t="s">
        <v>613</v>
      </c>
      <c r="I10" s="14" t="str">
        <f>"2700,0"</f>
        <v>2700,0</v>
      </c>
      <c r="J10" s="17" t="str">
        <f>"23,0769"</f>
        <v>23,0769</v>
      </c>
      <c r="K10" s="14" t="s">
        <v>195</v>
      </c>
    </row>
    <row r="12" spans="5:6" ht="15">
      <c r="E12" s="16" t="s">
        <v>79</v>
      </c>
      <c r="F12" s="16" t="s">
        <v>798</v>
      </c>
    </row>
    <row r="13" spans="5:6" ht="15">
      <c r="E13" s="16" t="s">
        <v>80</v>
      </c>
      <c r="F13" s="16" t="s">
        <v>799</v>
      </c>
    </row>
    <row r="14" spans="5:6" ht="15">
      <c r="E14" s="16" t="s">
        <v>81</v>
      </c>
      <c r="F14" s="16" t="s">
        <v>808</v>
      </c>
    </row>
    <row r="15" spans="5:6" ht="15">
      <c r="E15" s="16" t="s">
        <v>82</v>
      </c>
      <c r="F15" s="16" t="s">
        <v>810</v>
      </c>
    </row>
    <row r="16" spans="5:6" ht="15">
      <c r="E16" s="16"/>
      <c r="F16" s="16"/>
    </row>
    <row r="18" ht="15">
      <c r="E18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7.37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828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602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5" t="s">
        <v>671</v>
      </c>
      <c r="B6" s="5" t="s">
        <v>672</v>
      </c>
      <c r="C6" s="5" t="s">
        <v>529</v>
      </c>
      <c r="D6" s="5" t="str">
        <f>"1,0000"</f>
        <v>1,0000</v>
      </c>
      <c r="E6" s="5" t="s">
        <v>33</v>
      </c>
      <c r="F6" s="5" t="s">
        <v>530</v>
      </c>
      <c r="G6" s="7" t="s">
        <v>26</v>
      </c>
      <c r="H6" s="29" t="s">
        <v>673</v>
      </c>
      <c r="I6" s="5" t="str">
        <f>"1500,0"</f>
        <v>1500,0</v>
      </c>
      <c r="J6" s="7" t="str">
        <f>"14,6341"</f>
        <v>14,6341</v>
      </c>
      <c r="K6" s="5" t="s">
        <v>44</v>
      </c>
    </row>
    <row r="8" spans="5:6" ht="15">
      <c r="E8" s="16" t="s">
        <v>79</v>
      </c>
      <c r="F8" s="16" t="s">
        <v>798</v>
      </c>
    </row>
    <row r="9" spans="5:6" ht="15">
      <c r="E9" s="16" t="s">
        <v>80</v>
      </c>
      <c r="F9" s="16" t="s">
        <v>799</v>
      </c>
    </row>
    <row r="10" spans="5:6" ht="15">
      <c r="E10" s="16" t="s">
        <v>81</v>
      </c>
      <c r="F10" s="16" t="s">
        <v>801</v>
      </c>
    </row>
    <row r="11" spans="5:6" ht="15">
      <c r="E11" s="16" t="s">
        <v>82</v>
      </c>
      <c r="F11" s="16" t="s">
        <v>811</v>
      </c>
    </row>
    <row r="12" spans="5:6" ht="15">
      <c r="E12" s="16"/>
      <c r="F12" s="16"/>
    </row>
    <row r="14" ht="15">
      <c r="E14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4.0039062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829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602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5" t="s">
        <v>604</v>
      </c>
      <c r="B6" s="5" t="s">
        <v>605</v>
      </c>
      <c r="C6" s="5" t="s">
        <v>606</v>
      </c>
      <c r="D6" s="5" t="str">
        <f>"1,0000"</f>
        <v>1,0000</v>
      </c>
      <c r="E6" s="5" t="s">
        <v>33</v>
      </c>
      <c r="F6" s="5" t="s">
        <v>49</v>
      </c>
      <c r="G6" s="7" t="s">
        <v>102</v>
      </c>
      <c r="H6" s="29" t="s">
        <v>607</v>
      </c>
      <c r="I6" s="5" t="str">
        <f>"3800,0"</f>
        <v>3800,0</v>
      </c>
      <c r="J6" s="7" t="str">
        <f>"33,2458"</f>
        <v>33,2458</v>
      </c>
      <c r="K6" s="5" t="s">
        <v>44</v>
      </c>
    </row>
    <row r="8" spans="5:6" ht="15">
      <c r="E8" s="16" t="s">
        <v>79</v>
      </c>
      <c r="F8" s="16" t="s">
        <v>798</v>
      </c>
    </row>
    <row r="9" spans="5:6" ht="15">
      <c r="E9" s="16" t="s">
        <v>80</v>
      </c>
      <c r="F9" s="16" t="s">
        <v>799</v>
      </c>
    </row>
    <row r="10" spans="5:6" ht="15">
      <c r="E10" s="16" t="s">
        <v>81</v>
      </c>
      <c r="F10" s="16" t="s">
        <v>801</v>
      </c>
    </row>
    <row r="11" spans="5:6" ht="15">
      <c r="E11" s="16" t="s">
        <v>82</v>
      </c>
      <c r="F11" s="16" t="s">
        <v>811</v>
      </c>
    </row>
    <row r="12" spans="5:6" ht="15">
      <c r="E12" s="16"/>
      <c r="F12" s="16"/>
    </row>
    <row r="14" ht="15">
      <c r="E14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36.87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830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573</v>
      </c>
      <c r="E3" s="54" t="s">
        <v>4</v>
      </c>
      <c r="F3" s="54" t="s">
        <v>8</v>
      </c>
      <c r="G3" s="54" t="s">
        <v>574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152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5" t="s">
        <v>398</v>
      </c>
      <c r="B6" s="5" t="s">
        <v>399</v>
      </c>
      <c r="C6" s="5" t="s">
        <v>400</v>
      </c>
      <c r="D6" s="5" t="str">
        <f>"0,8619"</f>
        <v>0,8619</v>
      </c>
      <c r="E6" s="5" t="s">
        <v>72</v>
      </c>
      <c r="F6" s="5" t="s">
        <v>401</v>
      </c>
      <c r="G6" s="7" t="s">
        <v>22</v>
      </c>
      <c r="H6" s="25" t="s">
        <v>284</v>
      </c>
      <c r="I6" s="5" t="str">
        <f>"1687,5"</f>
        <v>1687,5</v>
      </c>
      <c r="J6" s="7" t="str">
        <f>"1454,4562"</f>
        <v>1454,4562</v>
      </c>
      <c r="K6" s="5" t="s">
        <v>78</v>
      </c>
    </row>
    <row r="8" spans="1:10" ht="15">
      <c r="A8" s="52" t="s">
        <v>45</v>
      </c>
      <c r="B8" s="53"/>
      <c r="C8" s="53"/>
      <c r="D8" s="53"/>
      <c r="E8" s="53"/>
      <c r="F8" s="53"/>
      <c r="G8" s="53"/>
      <c r="H8" s="53"/>
      <c r="I8" s="53"/>
      <c r="J8" s="53"/>
    </row>
    <row r="9" spans="1:11" ht="12.75">
      <c r="A9" s="5" t="s">
        <v>592</v>
      </c>
      <c r="B9" s="5" t="s">
        <v>593</v>
      </c>
      <c r="C9" s="5" t="s">
        <v>594</v>
      </c>
      <c r="D9" s="5" t="str">
        <f>"0,7839"</f>
        <v>0,7839</v>
      </c>
      <c r="E9" s="5" t="s">
        <v>123</v>
      </c>
      <c r="F9" s="5" t="s">
        <v>49</v>
      </c>
      <c r="G9" s="7" t="s">
        <v>279</v>
      </c>
      <c r="H9" s="25" t="s">
        <v>595</v>
      </c>
      <c r="I9" s="5" t="str">
        <f>"3120,0"</f>
        <v>3120,0</v>
      </c>
      <c r="J9" s="7" t="str">
        <f>"2445,7681"</f>
        <v>2445,7681</v>
      </c>
      <c r="K9" s="5" t="s">
        <v>44</v>
      </c>
    </row>
    <row r="11" spans="1:10" ht="15">
      <c r="A11" s="52" t="s">
        <v>68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1" ht="12.75">
      <c r="A12" s="8" t="s">
        <v>596</v>
      </c>
      <c r="B12" s="8" t="s">
        <v>407</v>
      </c>
      <c r="C12" s="8" t="s">
        <v>408</v>
      </c>
      <c r="D12" s="8" t="str">
        <f>"0,7041"</f>
        <v>0,7041</v>
      </c>
      <c r="E12" s="8" t="s">
        <v>33</v>
      </c>
      <c r="F12" s="8" t="s">
        <v>409</v>
      </c>
      <c r="G12" s="9" t="s">
        <v>124</v>
      </c>
      <c r="H12" s="27" t="s">
        <v>597</v>
      </c>
      <c r="I12" s="8" t="str">
        <f>"3895,0"</f>
        <v>3895,0</v>
      </c>
      <c r="J12" s="9" t="str">
        <f>"2742,4695"</f>
        <v>2742,4695</v>
      </c>
      <c r="K12" s="8" t="s">
        <v>44</v>
      </c>
    </row>
    <row r="13" spans="1:11" ht="12.75">
      <c r="A13" s="14" t="s">
        <v>598</v>
      </c>
      <c r="B13" s="14" t="s">
        <v>261</v>
      </c>
      <c r="C13" s="14" t="s">
        <v>599</v>
      </c>
      <c r="D13" s="14" t="str">
        <f>"0,6618"</f>
        <v>0,6618</v>
      </c>
      <c r="E13" s="14" t="s">
        <v>193</v>
      </c>
      <c r="F13" s="14" t="s">
        <v>194</v>
      </c>
      <c r="G13" s="17" t="s">
        <v>102</v>
      </c>
      <c r="H13" s="28" t="s">
        <v>600</v>
      </c>
      <c r="I13" s="14" t="str">
        <f>"2900,0"</f>
        <v>2900,0</v>
      </c>
      <c r="J13" s="17" t="str">
        <f>"1919,2201"</f>
        <v>1919,2201</v>
      </c>
      <c r="K13" s="14" t="s">
        <v>44</v>
      </c>
    </row>
    <row r="15" spans="5:6" ht="15">
      <c r="E15" s="16" t="s">
        <v>79</v>
      </c>
      <c r="F15" s="16" t="s">
        <v>798</v>
      </c>
    </row>
    <row r="16" spans="5:6" ht="15">
      <c r="E16" s="16" t="s">
        <v>80</v>
      </c>
      <c r="F16" s="16" t="s">
        <v>799</v>
      </c>
    </row>
    <row r="17" spans="5:6" ht="15">
      <c r="E17" s="16" t="s">
        <v>81</v>
      </c>
      <c r="F17" s="16" t="s">
        <v>801</v>
      </c>
    </row>
    <row r="18" spans="5:6" ht="15">
      <c r="E18" s="16" t="s">
        <v>82</v>
      </c>
      <c r="F18" s="16" t="s">
        <v>811</v>
      </c>
    </row>
    <row r="19" spans="5:6" ht="15">
      <c r="E19" s="16"/>
      <c r="F19" s="16"/>
    </row>
    <row r="21" ht="15">
      <c r="E21" s="16"/>
    </row>
  </sheetData>
  <sheetProtection/>
  <mergeCells count="14"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6.125" style="4" bestFit="1" customWidth="1"/>
    <col min="22" max="16384" width="9.125" style="3" customWidth="1"/>
  </cols>
  <sheetData>
    <row r="1" spans="1:21" s="2" customFormat="1" ht="28.5" customHeight="1">
      <c r="A1" s="60" t="s">
        <v>813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10</v>
      </c>
      <c r="H3" s="54"/>
      <c r="I3" s="54"/>
      <c r="J3" s="54"/>
      <c r="K3" s="54" t="s">
        <v>11</v>
      </c>
      <c r="L3" s="54"/>
      <c r="M3" s="54"/>
      <c r="N3" s="54"/>
      <c r="O3" s="54" t="s">
        <v>12</v>
      </c>
      <c r="P3" s="54"/>
      <c r="Q3" s="54"/>
      <c r="R3" s="54"/>
      <c r="S3" s="54" t="s">
        <v>1</v>
      </c>
      <c r="T3" s="54" t="s">
        <v>3</v>
      </c>
      <c r="U3" s="56" t="s">
        <v>2</v>
      </c>
    </row>
    <row r="4" spans="1:21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34">
        <v>1</v>
      </c>
      <c r="L4" s="34">
        <v>2</v>
      </c>
      <c r="M4" s="34">
        <v>3</v>
      </c>
      <c r="N4" s="34" t="s">
        <v>5</v>
      </c>
      <c r="O4" s="34">
        <v>1</v>
      </c>
      <c r="P4" s="34">
        <v>2</v>
      </c>
      <c r="Q4" s="34">
        <v>3</v>
      </c>
      <c r="R4" s="34" t="s">
        <v>5</v>
      </c>
      <c r="S4" s="55"/>
      <c r="T4" s="55"/>
      <c r="U4" s="57"/>
    </row>
    <row r="5" spans="1:20" ht="15">
      <c r="A5" s="58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ht="12.75">
      <c r="A6" s="5" t="s">
        <v>15</v>
      </c>
      <c r="B6" s="5" t="s">
        <v>16</v>
      </c>
      <c r="C6" s="5" t="s">
        <v>17</v>
      </c>
      <c r="D6" s="5" t="str">
        <f>"0,9215"</f>
        <v>0,9215</v>
      </c>
      <c r="E6" s="5" t="s">
        <v>18</v>
      </c>
      <c r="F6" s="5" t="s">
        <v>19</v>
      </c>
      <c r="G6" s="6" t="s">
        <v>20</v>
      </c>
      <c r="H6" s="7" t="s">
        <v>20</v>
      </c>
      <c r="I6" s="6" t="s">
        <v>21</v>
      </c>
      <c r="J6" s="6"/>
      <c r="K6" s="7" t="s">
        <v>22</v>
      </c>
      <c r="L6" s="7" t="s">
        <v>23</v>
      </c>
      <c r="M6" s="6" t="s">
        <v>24</v>
      </c>
      <c r="N6" s="6"/>
      <c r="O6" s="6" t="s">
        <v>25</v>
      </c>
      <c r="P6" s="7" t="s">
        <v>25</v>
      </c>
      <c r="Q6" s="6" t="s">
        <v>26</v>
      </c>
      <c r="R6" s="6"/>
      <c r="S6" s="5" t="str">
        <f>"335,0"</f>
        <v>335,0</v>
      </c>
      <c r="T6" s="7" t="str">
        <f>"308,7025"</f>
        <v>308,7025</v>
      </c>
      <c r="U6" s="5" t="s">
        <v>27</v>
      </c>
    </row>
    <row r="8" spans="1:20" ht="15">
      <c r="A8" s="52" t="s">
        <v>28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 ht="12.75">
      <c r="A9" s="5" t="s">
        <v>30</v>
      </c>
      <c r="B9" s="5" t="s">
        <v>31</v>
      </c>
      <c r="C9" s="5" t="s">
        <v>32</v>
      </c>
      <c r="D9" s="5" t="str">
        <f>"0,6843"</f>
        <v>0,6843</v>
      </c>
      <c r="E9" s="5" t="s">
        <v>33</v>
      </c>
      <c r="F9" s="5" t="s">
        <v>34</v>
      </c>
      <c r="G9" s="6" t="s">
        <v>35</v>
      </c>
      <c r="H9" s="7" t="s">
        <v>36</v>
      </c>
      <c r="I9" s="7" t="s">
        <v>37</v>
      </c>
      <c r="J9" s="6"/>
      <c r="K9" s="7" t="s">
        <v>38</v>
      </c>
      <c r="L9" s="7" t="s">
        <v>39</v>
      </c>
      <c r="M9" s="6" t="s">
        <v>40</v>
      </c>
      <c r="N9" s="6"/>
      <c r="O9" s="7" t="s">
        <v>41</v>
      </c>
      <c r="P9" s="7" t="s">
        <v>42</v>
      </c>
      <c r="Q9" s="6" t="s">
        <v>43</v>
      </c>
      <c r="R9" s="6"/>
      <c r="S9" s="5" t="str">
        <f>"540,0"</f>
        <v>540,0</v>
      </c>
      <c r="T9" s="7" t="str">
        <f>"369,5220"</f>
        <v>369,5220</v>
      </c>
      <c r="U9" s="5" t="s">
        <v>44</v>
      </c>
    </row>
    <row r="11" spans="1:20" ht="15">
      <c r="A11" s="52" t="s">
        <v>45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1" ht="12.75">
      <c r="A12" s="8" t="s">
        <v>46</v>
      </c>
      <c r="B12" s="8" t="s">
        <v>47</v>
      </c>
      <c r="C12" s="8" t="s">
        <v>48</v>
      </c>
      <c r="D12" s="8" t="str">
        <f>"0,6257"</f>
        <v>0,6257</v>
      </c>
      <c r="E12" s="8" t="s">
        <v>33</v>
      </c>
      <c r="F12" s="8" t="s">
        <v>49</v>
      </c>
      <c r="G12" s="9" t="s">
        <v>35</v>
      </c>
      <c r="H12" s="10" t="s">
        <v>50</v>
      </c>
      <c r="I12" s="10" t="s">
        <v>50</v>
      </c>
      <c r="J12" s="10"/>
      <c r="K12" s="9" t="s">
        <v>51</v>
      </c>
      <c r="L12" s="9" t="s">
        <v>52</v>
      </c>
      <c r="M12" s="10" t="s">
        <v>20</v>
      </c>
      <c r="N12" s="10"/>
      <c r="O12" s="9" t="s">
        <v>53</v>
      </c>
      <c r="P12" s="9" t="s">
        <v>41</v>
      </c>
      <c r="Q12" s="10" t="s">
        <v>54</v>
      </c>
      <c r="R12" s="10"/>
      <c r="S12" s="8" t="str">
        <f>"522,5"</f>
        <v>522,5</v>
      </c>
      <c r="T12" s="9" t="str">
        <f>"326,9282"</f>
        <v>326,9282</v>
      </c>
      <c r="U12" s="8" t="s">
        <v>44</v>
      </c>
    </row>
    <row r="13" spans="1:21" ht="12.75">
      <c r="A13" s="11" t="s">
        <v>56</v>
      </c>
      <c r="B13" s="11" t="s">
        <v>57</v>
      </c>
      <c r="C13" s="11" t="s">
        <v>58</v>
      </c>
      <c r="D13" s="11" t="str">
        <f>"0,6281"</f>
        <v>0,6281</v>
      </c>
      <c r="E13" s="11" t="s">
        <v>59</v>
      </c>
      <c r="F13" s="11" t="s">
        <v>49</v>
      </c>
      <c r="G13" s="12" t="s">
        <v>60</v>
      </c>
      <c r="H13" s="13" t="s">
        <v>61</v>
      </c>
      <c r="I13" s="12" t="s">
        <v>61</v>
      </c>
      <c r="J13" s="13"/>
      <c r="K13" s="12" t="s">
        <v>40</v>
      </c>
      <c r="L13" s="13" t="s">
        <v>52</v>
      </c>
      <c r="M13" s="13" t="s">
        <v>52</v>
      </c>
      <c r="N13" s="13"/>
      <c r="O13" s="12" t="s">
        <v>61</v>
      </c>
      <c r="P13" s="12" t="s">
        <v>62</v>
      </c>
      <c r="Q13" s="13"/>
      <c r="R13" s="13"/>
      <c r="S13" s="11" t="str">
        <f>"482,5"</f>
        <v>482,5</v>
      </c>
      <c r="T13" s="12" t="str">
        <f>"303,0824"</f>
        <v>303,0824</v>
      </c>
      <c r="U13" s="11" t="s">
        <v>63</v>
      </c>
    </row>
    <row r="14" spans="1:21" ht="12.75">
      <c r="A14" s="14" t="s">
        <v>65</v>
      </c>
      <c r="B14" s="14" t="s">
        <v>66</v>
      </c>
      <c r="C14" s="14" t="s">
        <v>67</v>
      </c>
      <c r="D14" s="14" t="str">
        <f>"0,6301"</f>
        <v>0,6301</v>
      </c>
      <c r="E14" s="14" t="s">
        <v>59</v>
      </c>
      <c r="F14" s="14" t="s">
        <v>49</v>
      </c>
      <c r="G14" s="15" t="s">
        <v>60</v>
      </c>
      <c r="H14" s="15" t="s">
        <v>61</v>
      </c>
      <c r="I14" s="15" t="s">
        <v>61</v>
      </c>
      <c r="J14" s="15"/>
      <c r="K14" s="15" t="s">
        <v>51</v>
      </c>
      <c r="L14" s="15"/>
      <c r="M14" s="15"/>
      <c r="N14" s="15"/>
      <c r="O14" s="15" t="s">
        <v>61</v>
      </c>
      <c r="P14" s="15"/>
      <c r="Q14" s="15"/>
      <c r="R14" s="15"/>
      <c r="S14" s="14" t="str">
        <f>"0.00"</f>
        <v>0.00</v>
      </c>
      <c r="T14" s="17" t="str">
        <f>"0,0000"</f>
        <v>0,0000</v>
      </c>
      <c r="U14" s="14" t="s">
        <v>63</v>
      </c>
    </row>
    <row r="16" spans="1:20" ht="15">
      <c r="A16" s="52" t="s">
        <v>68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1" ht="12.75">
      <c r="A17" s="5" t="s">
        <v>69</v>
      </c>
      <c r="B17" s="5" t="s">
        <v>70</v>
      </c>
      <c r="C17" s="5" t="s">
        <v>71</v>
      </c>
      <c r="D17" s="5" t="str">
        <f>"0,5545"</f>
        <v>0,5545</v>
      </c>
      <c r="E17" s="5" t="s">
        <v>72</v>
      </c>
      <c r="F17" s="5" t="s">
        <v>49</v>
      </c>
      <c r="G17" s="7" t="s">
        <v>73</v>
      </c>
      <c r="H17" s="7" t="s">
        <v>74</v>
      </c>
      <c r="I17" s="7" t="s">
        <v>75</v>
      </c>
      <c r="J17" s="6"/>
      <c r="K17" s="6" t="s">
        <v>25</v>
      </c>
      <c r="L17" s="7" t="s">
        <v>26</v>
      </c>
      <c r="M17" s="6" t="s">
        <v>76</v>
      </c>
      <c r="N17" s="6"/>
      <c r="O17" s="7" t="s">
        <v>77</v>
      </c>
      <c r="P17" s="6" t="s">
        <v>74</v>
      </c>
      <c r="Q17" s="6"/>
      <c r="R17" s="6"/>
      <c r="S17" s="5" t="str">
        <f>"652,5"</f>
        <v>652,5</v>
      </c>
      <c r="T17" s="7" t="str">
        <f>"361,8112"</f>
        <v>361,8112</v>
      </c>
      <c r="U17" s="5" t="s">
        <v>78</v>
      </c>
    </row>
    <row r="19" spans="5:6" ht="15">
      <c r="E19" s="16" t="s">
        <v>79</v>
      </c>
      <c r="F19" s="16" t="s">
        <v>798</v>
      </c>
    </row>
    <row r="20" spans="5:6" ht="15">
      <c r="E20" s="16" t="s">
        <v>80</v>
      </c>
      <c r="F20" s="16" t="s">
        <v>799</v>
      </c>
    </row>
    <row r="21" spans="5:6" ht="15">
      <c r="E21" s="16" t="s">
        <v>81</v>
      </c>
      <c r="F21" s="16" t="s">
        <v>800</v>
      </c>
    </row>
    <row r="22" spans="5:6" ht="15">
      <c r="E22" s="16" t="s">
        <v>82</v>
      </c>
      <c r="F22" s="16" t="s">
        <v>801</v>
      </c>
    </row>
    <row r="23" spans="5:6" ht="15">
      <c r="E23" s="16" t="s">
        <v>82</v>
      </c>
      <c r="F23" s="16" t="s">
        <v>798</v>
      </c>
    </row>
    <row r="25" ht="15">
      <c r="E25" s="16"/>
    </row>
  </sheetData>
  <sheetProtection/>
  <mergeCells count="17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A11:T11"/>
    <mergeCell ref="A16:T16"/>
    <mergeCell ref="D3:D4"/>
    <mergeCell ref="S3:S4"/>
    <mergeCell ref="T3:T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8.625" style="4" bestFit="1" customWidth="1"/>
    <col min="7" max="7" width="4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2.25390625" style="4" bestFit="1" customWidth="1"/>
    <col min="12" max="16384" width="9.125" style="3" customWidth="1"/>
  </cols>
  <sheetData>
    <row r="1" spans="1:11" s="2" customFormat="1" ht="28.5" customHeight="1">
      <c r="A1" s="60" t="s">
        <v>831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674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8" t="s">
        <v>675</v>
      </c>
      <c r="B6" s="8" t="s">
        <v>676</v>
      </c>
      <c r="C6" s="8" t="s">
        <v>677</v>
      </c>
      <c r="D6" s="8" t="str">
        <f>"1,0000"</f>
        <v>1,0000</v>
      </c>
      <c r="E6" s="8" t="s">
        <v>678</v>
      </c>
      <c r="F6" s="8" t="s">
        <v>679</v>
      </c>
      <c r="G6" s="9" t="s">
        <v>134</v>
      </c>
      <c r="H6" s="27" t="s">
        <v>680</v>
      </c>
      <c r="I6" s="8" t="str">
        <f>"2805,0"</f>
        <v>2805,0</v>
      </c>
      <c r="J6" s="9" t="str">
        <f>"43,8967"</f>
        <v>43,8967</v>
      </c>
      <c r="K6" s="8" t="s">
        <v>681</v>
      </c>
    </row>
    <row r="7" spans="1:11" ht="12.75">
      <c r="A7" s="11" t="s">
        <v>682</v>
      </c>
      <c r="B7" s="11" t="s">
        <v>265</v>
      </c>
      <c r="C7" s="11" t="s">
        <v>266</v>
      </c>
      <c r="D7" s="11" t="str">
        <f>"1,0000"</f>
        <v>1,0000</v>
      </c>
      <c r="E7" s="11" t="s">
        <v>267</v>
      </c>
      <c r="F7" s="11" t="s">
        <v>268</v>
      </c>
      <c r="G7" s="12" t="s">
        <v>134</v>
      </c>
      <c r="H7" s="33" t="s">
        <v>151</v>
      </c>
      <c r="I7" s="11" t="str">
        <f>"2750,0"</f>
        <v>2750,0</v>
      </c>
      <c r="J7" s="12" t="str">
        <f>"53,1914"</f>
        <v>53,1914</v>
      </c>
      <c r="K7" s="11" t="s">
        <v>269</v>
      </c>
    </row>
    <row r="8" spans="1:11" ht="12.75">
      <c r="A8" s="11" t="s">
        <v>683</v>
      </c>
      <c r="B8" s="11" t="s">
        <v>684</v>
      </c>
      <c r="C8" s="11" t="s">
        <v>685</v>
      </c>
      <c r="D8" s="11" t="str">
        <f>"1,0000"</f>
        <v>1,0000</v>
      </c>
      <c r="E8" s="11" t="s">
        <v>678</v>
      </c>
      <c r="F8" s="11" t="s">
        <v>679</v>
      </c>
      <c r="G8" s="12" t="s">
        <v>134</v>
      </c>
      <c r="H8" s="33" t="s">
        <v>607</v>
      </c>
      <c r="I8" s="11" t="str">
        <f>"2090,0"</f>
        <v>2090,0</v>
      </c>
      <c r="J8" s="12" t="str">
        <f>"45,1891"</f>
        <v>45,1891</v>
      </c>
      <c r="K8" s="11" t="s">
        <v>681</v>
      </c>
    </row>
    <row r="9" spans="1:11" ht="12.75">
      <c r="A9" s="14" t="s">
        <v>467</v>
      </c>
      <c r="B9" s="14" t="s">
        <v>468</v>
      </c>
      <c r="C9" s="14" t="s">
        <v>469</v>
      </c>
      <c r="D9" s="14" t="str">
        <f>"1,0000"</f>
        <v>1,0000</v>
      </c>
      <c r="E9" s="14" t="s">
        <v>33</v>
      </c>
      <c r="F9" s="14" t="s">
        <v>470</v>
      </c>
      <c r="G9" s="17" t="s">
        <v>134</v>
      </c>
      <c r="H9" s="28" t="s">
        <v>632</v>
      </c>
      <c r="I9" s="14" t="str">
        <f>"3190,0"</f>
        <v>3190,0</v>
      </c>
      <c r="J9" s="17" t="str">
        <f>"58,0000"</f>
        <v>58,0000</v>
      </c>
      <c r="K9" s="14" t="s">
        <v>471</v>
      </c>
    </row>
    <row r="11" spans="5:6" ht="15">
      <c r="E11" s="16" t="s">
        <v>79</v>
      </c>
      <c r="F11" s="16" t="s">
        <v>798</v>
      </c>
    </row>
    <row r="12" spans="5:6" ht="15">
      <c r="E12" s="16" t="s">
        <v>80</v>
      </c>
      <c r="F12" s="16" t="s">
        <v>799</v>
      </c>
    </row>
    <row r="13" spans="5:6" ht="15">
      <c r="E13" s="16" t="s">
        <v>81</v>
      </c>
      <c r="F13" s="16" t="s">
        <v>801</v>
      </c>
    </row>
    <row r="14" spans="5:6" ht="15">
      <c r="E14" s="16" t="s">
        <v>82</v>
      </c>
      <c r="F14" s="16" t="s">
        <v>811</v>
      </c>
    </row>
    <row r="15" spans="5:6" ht="15">
      <c r="E15" s="16"/>
      <c r="F15" s="16"/>
    </row>
    <row r="17" ht="15">
      <c r="E17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4.0039062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832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674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8" t="s">
        <v>686</v>
      </c>
      <c r="B6" s="8" t="s">
        <v>687</v>
      </c>
      <c r="C6" s="8" t="s">
        <v>688</v>
      </c>
      <c r="D6" s="8" t="str">
        <f aca="true" t="shared" si="0" ref="D6:D13">"1,0000"</f>
        <v>1,0000</v>
      </c>
      <c r="E6" s="8" t="s">
        <v>267</v>
      </c>
      <c r="F6" s="8" t="s">
        <v>268</v>
      </c>
      <c r="G6" s="9" t="s">
        <v>102</v>
      </c>
      <c r="H6" s="27" t="s">
        <v>689</v>
      </c>
      <c r="I6" s="8" t="str">
        <f>"1700,0"</f>
        <v>1700,0</v>
      </c>
      <c r="J6" s="9" t="str">
        <f>"20,8588"</f>
        <v>20,8588</v>
      </c>
      <c r="K6" s="8" t="s">
        <v>269</v>
      </c>
    </row>
    <row r="7" spans="1:11" ht="12.75">
      <c r="A7" s="11" t="s">
        <v>690</v>
      </c>
      <c r="B7" s="11" t="s">
        <v>691</v>
      </c>
      <c r="C7" s="11" t="s">
        <v>692</v>
      </c>
      <c r="D7" s="11" t="str">
        <f t="shared" si="0"/>
        <v>1,0000</v>
      </c>
      <c r="E7" s="11" t="s">
        <v>678</v>
      </c>
      <c r="F7" s="11" t="s">
        <v>679</v>
      </c>
      <c r="G7" s="12" t="s">
        <v>102</v>
      </c>
      <c r="H7" s="33" t="s">
        <v>114</v>
      </c>
      <c r="I7" s="11" t="str">
        <f>"4500,0"</f>
        <v>4500,0</v>
      </c>
      <c r="J7" s="12" t="str">
        <f>"56,0049"</f>
        <v>56,0049</v>
      </c>
      <c r="K7" s="11" t="s">
        <v>681</v>
      </c>
    </row>
    <row r="8" spans="1:11" ht="12.75">
      <c r="A8" s="11" t="s">
        <v>693</v>
      </c>
      <c r="B8" s="11" t="s">
        <v>611</v>
      </c>
      <c r="C8" s="11" t="s">
        <v>612</v>
      </c>
      <c r="D8" s="11" t="str">
        <f t="shared" si="0"/>
        <v>1,0000</v>
      </c>
      <c r="E8" s="11" t="s">
        <v>33</v>
      </c>
      <c r="F8" s="11" t="s">
        <v>49</v>
      </c>
      <c r="G8" s="12" t="s">
        <v>102</v>
      </c>
      <c r="H8" s="33" t="s">
        <v>694</v>
      </c>
      <c r="I8" s="11" t="str">
        <f>"3200,0"</f>
        <v>3200,0</v>
      </c>
      <c r="J8" s="12" t="str">
        <f>"44,5682"</f>
        <v>44,5682</v>
      </c>
      <c r="K8" s="11" t="s">
        <v>614</v>
      </c>
    </row>
    <row r="9" spans="1:11" ht="12.75">
      <c r="A9" s="11" t="s">
        <v>161</v>
      </c>
      <c r="B9" s="11" t="s">
        <v>162</v>
      </c>
      <c r="C9" s="11" t="s">
        <v>163</v>
      </c>
      <c r="D9" s="11" t="str">
        <f t="shared" si="0"/>
        <v>1,0000</v>
      </c>
      <c r="E9" s="11" t="s">
        <v>156</v>
      </c>
      <c r="F9" s="11" t="s">
        <v>157</v>
      </c>
      <c r="G9" s="12" t="s">
        <v>102</v>
      </c>
      <c r="H9" s="33" t="s">
        <v>695</v>
      </c>
      <c r="I9" s="11" t="str">
        <f>"4300,0"</f>
        <v>4300,0</v>
      </c>
      <c r="J9" s="12" t="str">
        <f>"58,3842"</f>
        <v>58,3842</v>
      </c>
      <c r="K9" s="11" t="s">
        <v>160</v>
      </c>
    </row>
    <row r="10" spans="1:11" ht="12.75">
      <c r="A10" s="11" t="s">
        <v>696</v>
      </c>
      <c r="B10" s="11" t="s">
        <v>154</v>
      </c>
      <c r="C10" s="11" t="s">
        <v>155</v>
      </c>
      <c r="D10" s="11" t="str">
        <f t="shared" si="0"/>
        <v>1,0000</v>
      </c>
      <c r="E10" s="11" t="s">
        <v>156</v>
      </c>
      <c r="F10" s="11" t="s">
        <v>157</v>
      </c>
      <c r="G10" s="12" t="s">
        <v>102</v>
      </c>
      <c r="H10" s="33" t="s">
        <v>613</v>
      </c>
      <c r="I10" s="11" t="str">
        <f>"3600,0"</f>
        <v>3600,0</v>
      </c>
      <c r="J10" s="12" t="str">
        <f>"59,0163"</f>
        <v>59,0163</v>
      </c>
      <c r="K10" s="11" t="s">
        <v>160</v>
      </c>
    </row>
    <row r="11" spans="1:11" ht="12.75">
      <c r="A11" s="11" t="s">
        <v>698</v>
      </c>
      <c r="B11" s="11" t="s">
        <v>699</v>
      </c>
      <c r="C11" s="11" t="s">
        <v>700</v>
      </c>
      <c r="D11" s="11" t="str">
        <f t="shared" si="0"/>
        <v>1,0000</v>
      </c>
      <c r="E11" s="11" t="s">
        <v>678</v>
      </c>
      <c r="F11" s="11" t="s">
        <v>679</v>
      </c>
      <c r="G11" s="12" t="s">
        <v>102</v>
      </c>
      <c r="H11" s="33" t="s">
        <v>701</v>
      </c>
      <c r="I11" s="11" t="str">
        <f>"6600,0"</f>
        <v>6600,0</v>
      </c>
      <c r="J11" s="12" t="str">
        <f>"91,7303"</f>
        <v>91,7303</v>
      </c>
      <c r="K11" s="11" t="s">
        <v>681</v>
      </c>
    </row>
    <row r="12" spans="1:11" ht="12.75">
      <c r="A12" s="11" t="s">
        <v>702</v>
      </c>
      <c r="B12" s="11" t="s">
        <v>47</v>
      </c>
      <c r="C12" s="11" t="s">
        <v>48</v>
      </c>
      <c r="D12" s="11" t="str">
        <f t="shared" si="0"/>
        <v>1,0000</v>
      </c>
      <c r="E12" s="11" t="s">
        <v>33</v>
      </c>
      <c r="F12" s="11" t="s">
        <v>49</v>
      </c>
      <c r="G12" s="12" t="s">
        <v>102</v>
      </c>
      <c r="H12" s="33" t="s">
        <v>634</v>
      </c>
      <c r="I12" s="11" t="str">
        <f>"5700,0"</f>
        <v>5700,0</v>
      </c>
      <c r="J12" s="12" t="str">
        <f>"70,1107"</f>
        <v>70,1107</v>
      </c>
      <c r="K12" s="11" t="s">
        <v>44</v>
      </c>
    </row>
    <row r="13" spans="1:11" ht="12.75">
      <c r="A13" s="14" t="s">
        <v>519</v>
      </c>
      <c r="B13" s="14" t="s">
        <v>520</v>
      </c>
      <c r="C13" s="14" t="s">
        <v>521</v>
      </c>
      <c r="D13" s="14" t="str">
        <f t="shared" si="0"/>
        <v>1,0000</v>
      </c>
      <c r="E13" s="14" t="s">
        <v>156</v>
      </c>
      <c r="F13" s="14" t="s">
        <v>157</v>
      </c>
      <c r="G13" s="17" t="s">
        <v>102</v>
      </c>
      <c r="H13" s="28" t="s">
        <v>637</v>
      </c>
      <c r="I13" s="14" t="str">
        <f>"4800,0"</f>
        <v>4800,0</v>
      </c>
      <c r="J13" s="17" t="str">
        <f>"53,7213"</f>
        <v>53,7213</v>
      </c>
      <c r="K13" s="14" t="s">
        <v>44</v>
      </c>
    </row>
    <row r="15" spans="5:6" ht="15">
      <c r="E15" s="16" t="s">
        <v>79</v>
      </c>
      <c r="F15" s="16" t="s">
        <v>798</v>
      </c>
    </row>
    <row r="16" spans="5:6" ht="15">
      <c r="E16" s="16" t="s">
        <v>80</v>
      </c>
      <c r="F16" s="16" t="s">
        <v>799</v>
      </c>
    </row>
    <row r="17" spans="5:6" ht="15">
      <c r="E17" s="16" t="s">
        <v>81</v>
      </c>
      <c r="F17" s="16" t="s">
        <v>801</v>
      </c>
    </row>
    <row r="18" spans="5:6" ht="15">
      <c r="E18" s="16" t="s">
        <v>82</v>
      </c>
      <c r="F18" s="16" t="s">
        <v>811</v>
      </c>
    </row>
    <row r="19" spans="5:6" ht="15">
      <c r="E19" s="16"/>
      <c r="F19" s="16"/>
    </row>
    <row r="21" ht="15">
      <c r="E21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1.87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833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66" t="s">
        <v>0</v>
      </c>
      <c r="B3" s="68" t="s">
        <v>6</v>
      </c>
      <c r="C3" s="68" t="s">
        <v>7</v>
      </c>
      <c r="D3" s="54" t="s">
        <v>601</v>
      </c>
      <c r="E3" s="54" t="s">
        <v>4</v>
      </c>
      <c r="F3" s="54" t="s">
        <v>8</v>
      </c>
      <c r="G3" s="54" t="s">
        <v>674</v>
      </c>
      <c r="H3" s="54"/>
      <c r="I3" s="54" t="s">
        <v>587</v>
      </c>
      <c r="J3" s="54" t="s">
        <v>3</v>
      </c>
      <c r="K3" s="56" t="s">
        <v>2</v>
      </c>
    </row>
    <row r="4" spans="1:11" s="1" customFormat="1" ht="21" customHeight="1" thickBot="1">
      <c r="A4" s="67"/>
      <c r="B4" s="55"/>
      <c r="C4" s="55"/>
      <c r="D4" s="55"/>
      <c r="E4" s="55"/>
      <c r="F4" s="55"/>
      <c r="G4" s="34" t="s">
        <v>585</v>
      </c>
      <c r="H4" s="35" t="s">
        <v>586</v>
      </c>
      <c r="I4" s="55"/>
      <c r="J4" s="55"/>
      <c r="K4" s="57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5" t="s">
        <v>703</v>
      </c>
      <c r="B6" s="5" t="s">
        <v>704</v>
      </c>
      <c r="C6" s="5" t="s">
        <v>705</v>
      </c>
      <c r="D6" s="5" t="str">
        <f>"1,0000"</f>
        <v>1,0000</v>
      </c>
      <c r="E6" s="5" t="s">
        <v>33</v>
      </c>
      <c r="F6" s="5" t="s">
        <v>19</v>
      </c>
      <c r="G6" s="7" t="s">
        <v>37</v>
      </c>
      <c r="H6" s="25" t="s">
        <v>706</v>
      </c>
      <c r="I6" s="5" t="str">
        <f>"3800,0"</f>
        <v>3800,0</v>
      </c>
      <c r="J6" s="7" t="str">
        <f>"35,3488"</f>
        <v>35,3488</v>
      </c>
      <c r="K6" s="5" t="s">
        <v>44</v>
      </c>
    </row>
    <row r="8" spans="5:6" ht="15">
      <c r="E8" s="16" t="s">
        <v>79</v>
      </c>
      <c r="F8" s="16" t="s">
        <v>798</v>
      </c>
    </row>
    <row r="9" spans="5:6" ht="15">
      <c r="E9" s="16" t="s">
        <v>80</v>
      </c>
      <c r="F9" s="16" t="s">
        <v>799</v>
      </c>
    </row>
    <row r="10" spans="5:6" ht="15">
      <c r="E10" s="16" t="s">
        <v>81</v>
      </c>
      <c r="F10" s="16" t="s">
        <v>801</v>
      </c>
    </row>
    <row r="11" spans="5:6" ht="15">
      <c r="E11" s="16" t="s">
        <v>82</v>
      </c>
      <c r="F11" s="16" t="s">
        <v>811</v>
      </c>
    </row>
    <row r="12" spans="5:6" ht="15">
      <c r="E12" s="16"/>
      <c r="F12" s="16"/>
    </row>
    <row r="14" ht="15">
      <c r="E14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4.00390625" style="4" bestFit="1" customWidth="1"/>
    <col min="7" max="7" width="5.625" style="3" bestFit="1" customWidth="1"/>
    <col min="8" max="8" width="4.625" style="26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60" t="s">
        <v>834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" customFormat="1" ht="12.75" customHeight="1">
      <c r="A3" s="73" t="s">
        <v>0</v>
      </c>
      <c r="B3" s="75" t="s">
        <v>6</v>
      </c>
      <c r="C3" s="75" t="s">
        <v>7</v>
      </c>
      <c r="D3" s="69" t="s">
        <v>601</v>
      </c>
      <c r="E3" s="69" t="s">
        <v>4</v>
      </c>
      <c r="F3" s="69" t="s">
        <v>8</v>
      </c>
      <c r="G3" s="69" t="s">
        <v>674</v>
      </c>
      <c r="H3" s="69"/>
      <c r="I3" s="69" t="s">
        <v>587</v>
      </c>
      <c r="J3" s="69" t="s">
        <v>3</v>
      </c>
      <c r="K3" s="71" t="s">
        <v>2</v>
      </c>
    </row>
    <row r="4" spans="1:11" s="1" customFormat="1" ht="21" customHeight="1" thickBot="1">
      <c r="A4" s="74"/>
      <c r="B4" s="70"/>
      <c r="C4" s="70"/>
      <c r="D4" s="70"/>
      <c r="E4" s="70"/>
      <c r="F4" s="70"/>
      <c r="G4" s="36" t="s">
        <v>585</v>
      </c>
      <c r="H4" s="37" t="s">
        <v>586</v>
      </c>
      <c r="I4" s="70"/>
      <c r="J4" s="70"/>
      <c r="K4" s="72"/>
    </row>
    <row r="5" spans="1:10" ht="15">
      <c r="A5" s="58" t="s">
        <v>603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12.75">
      <c r="A6" s="8" t="s">
        <v>707</v>
      </c>
      <c r="B6" s="8" t="s">
        <v>708</v>
      </c>
      <c r="C6" s="8" t="s">
        <v>709</v>
      </c>
      <c r="D6" s="8" t="str">
        <f>"1,0000"</f>
        <v>1,0000</v>
      </c>
      <c r="E6" s="8" t="s">
        <v>475</v>
      </c>
      <c r="F6" s="8" t="s">
        <v>353</v>
      </c>
      <c r="G6" s="9" t="s">
        <v>37</v>
      </c>
      <c r="H6" s="27" t="s">
        <v>706</v>
      </c>
      <c r="I6" s="8" t="str">
        <f>"3800,0"</f>
        <v>3800,0</v>
      </c>
      <c r="J6" s="9" t="str">
        <f>"40,7070"</f>
        <v>40,7070</v>
      </c>
      <c r="K6" s="8" t="s">
        <v>44</v>
      </c>
    </row>
    <row r="7" spans="1:11" ht="12.75">
      <c r="A7" s="11" t="s">
        <v>710</v>
      </c>
      <c r="B7" s="11" t="s">
        <v>711</v>
      </c>
      <c r="C7" s="11" t="s">
        <v>712</v>
      </c>
      <c r="D7" s="11" t="str">
        <f>"1,0000"</f>
        <v>1,0000</v>
      </c>
      <c r="E7" s="11" t="s">
        <v>72</v>
      </c>
      <c r="F7" s="11" t="s">
        <v>49</v>
      </c>
      <c r="G7" s="12" t="s">
        <v>37</v>
      </c>
      <c r="H7" s="33" t="s">
        <v>713</v>
      </c>
      <c r="I7" s="11" t="str">
        <f>"3000,0"</f>
        <v>3000,0</v>
      </c>
      <c r="J7" s="12" t="str">
        <f>"36,6076"</f>
        <v>36,6076</v>
      </c>
      <c r="K7" s="11" t="s">
        <v>78</v>
      </c>
    </row>
    <row r="8" spans="1:11" ht="12.75">
      <c r="A8" s="14" t="s">
        <v>714</v>
      </c>
      <c r="B8" s="14" t="s">
        <v>715</v>
      </c>
      <c r="C8" s="14" t="s">
        <v>716</v>
      </c>
      <c r="D8" s="14" t="str">
        <f>"1,0000"</f>
        <v>1,0000</v>
      </c>
      <c r="E8" s="14" t="s">
        <v>59</v>
      </c>
      <c r="F8" s="14" t="s">
        <v>49</v>
      </c>
      <c r="G8" s="17" t="s">
        <v>37</v>
      </c>
      <c r="H8" s="28" t="s">
        <v>717</v>
      </c>
      <c r="I8" s="14" t="str">
        <f>"2800,0"</f>
        <v>2800,0</v>
      </c>
      <c r="J8" s="17" t="str">
        <f>"28,7769"</f>
        <v>28,7769</v>
      </c>
      <c r="K8" s="14" t="s">
        <v>44</v>
      </c>
    </row>
    <row r="10" spans="5:6" ht="15">
      <c r="E10" s="16" t="s">
        <v>79</v>
      </c>
      <c r="F10" s="16" t="s">
        <v>798</v>
      </c>
    </row>
    <row r="11" spans="5:6" ht="15">
      <c r="E11" s="16" t="s">
        <v>80</v>
      </c>
      <c r="F11" s="16" t="s">
        <v>799</v>
      </c>
    </row>
    <row r="12" spans="5:6" ht="15">
      <c r="E12" s="16" t="s">
        <v>81</v>
      </c>
      <c r="F12" s="16" t="s">
        <v>801</v>
      </c>
    </row>
    <row r="13" spans="5:6" ht="15">
      <c r="E13" s="16" t="s">
        <v>82</v>
      </c>
      <c r="F13" s="16" t="s">
        <v>811</v>
      </c>
    </row>
    <row r="14" spans="5:6" ht="15">
      <c r="E14" s="16"/>
      <c r="F14" s="16"/>
    </row>
    <row r="16" ht="15">
      <c r="E16" s="16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5">
      <selection activeCell="A64" sqref="A6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8" width="4.625" style="3" bestFit="1" customWidth="1"/>
    <col min="9" max="9" width="5.625" style="3" bestFit="1" customWidth="1"/>
    <col min="10" max="10" width="4.625" style="3" bestFit="1" customWidth="1"/>
    <col min="11" max="11" width="7.753906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718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138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720</v>
      </c>
      <c r="B6" s="5" t="s">
        <v>721</v>
      </c>
      <c r="C6" s="5" t="s">
        <v>722</v>
      </c>
      <c r="D6" s="5" t="str">
        <f>"0,8163"</f>
        <v>0,8163</v>
      </c>
      <c r="E6" s="5" t="s">
        <v>33</v>
      </c>
      <c r="F6" s="5" t="s">
        <v>530</v>
      </c>
      <c r="G6" s="7" t="s">
        <v>143</v>
      </c>
      <c r="H6" s="6" t="s">
        <v>104</v>
      </c>
      <c r="I6" s="7" t="s">
        <v>104</v>
      </c>
      <c r="J6" s="6"/>
      <c r="K6" s="5" t="str">
        <f>"60,0"</f>
        <v>60,0</v>
      </c>
      <c r="L6" s="7" t="str">
        <f>"48,9780"</f>
        <v>48,9780</v>
      </c>
      <c r="M6" s="5" t="s">
        <v>723</v>
      </c>
    </row>
    <row r="8" spans="1:12" ht="15">
      <c r="A8" s="52" t="s">
        <v>152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725</v>
      </c>
      <c r="B9" s="8" t="s">
        <v>726</v>
      </c>
      <c r="C9" s="8" t="s">
        <v>400</v>
      </c>
      <c r="D9" s="8" t="str">
        <f>"0,7307"</f>
        <v>0,7307</v>
      </c>
      <c r="E9" s="8" t="s">
        <v>72</v>
      </c>
      <c r="F9" s="8" t="s">
        <v>49</v>
      </c>
      <c r="G9" s="9" t="s">
        <v>104</v>
      </c>
      <c r="H9" s="9" t="s">
        <v>135</v>
      </c>
      <c r="I9" s="10" t="s">
        <v>22</v>
      </c>
      <c r="J9" s="10"/>
      <c r="K9" s="8" t="str">
        <f>"62,5"</f>
        <v>62,5</v>
      </c>
      <c r="L9" s="9" t="str">
        <f>"45,6688"</f>
        <v>45,6688</v>
      </c>
      <c r="M9" s="8" t="s">
        <v>837</v>
      </c>
    </row>
    <row r="10" spans="1:13" ht="12.75">
      <c r="A10" s="14" t="s">
        <v>728</v>
      </c>
      <c r="B10" s="14" t="s">
        <v>729</v>
      </c>
      <c r="C10" s="14" t="s">
        <v>730</v>
      </c>
      <c r="D10" s="14" t="str">
        <f>"0,7471"</f>
        <v>0,7471</v>
      </c>
      <c r="E10" s="14" t="s">
        <v>33</v>
      </c>
      <c r="F10" s="14" t="s">
        <v>49</v>
      </c>
      <c r="G10" s="17" t="s">
        <v>289</v>
      </c>
      <c r="H10" s="17" t="s">
        <v>134</v>
      </c>
      <c r="I10" s="17" t="s">
        <v>143</v>
      </c>
      <c r="J10" s="15"/>
      <c r="K10" s="14" t="str">
        <f>"57,5"</f>
        <v>57,5</v>
      </c>
      <c r="L10" s="17" t="str">
        <f>"42,9582"</f>
        <v>42,9582</v>
      </c>
      <c r="M10" s="14" t="s">
        <v>44</v>
      </c>
    </row>
    <row r="12" spans="1:12" ht="15">
      <c r="A12" s="52" t="s">
        <v>28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12.75">
      <c r="A13" s="8" t="s">
        <v>698</v>
      </c>
      <c r="B13" s="8" t="s">
        <v>699</v>
      </c>
      <c r="C13" s="8" t="s">
        <v>700</v>
      </c>
      <c r="D13" s="8" t="str">
        <f>"0,6870"</f>
        <v>0,6870</v>
      </c>
      <c r="E13" s="8" t="s">
        <v>678</v>
      </c>
      <c r="F13" s="8" t="s">
        <v>679</v>
      </c>
      <c r="G13" s="9" t="s">
        <v>105</v>
      </c>
      <c r="H13" s="9" t="s">
        <v>23</v>
      </c>
      <c r="I13" s="9" t="s">
        <v>24</v>
      </c>
      <c r="J13" s="10" t="s">
        <v>111</v>
      </c>
      <c r="K13" s="8" t="str">
        <f>"72,5"</f>
        <v>72,5</v>
      </c>
      <c r="L13" s="9" t="str">
        <f>"49,8111"</f>
        <v>49,8111</v>
      </c>
      <c r="M13" s="8" t="s">
        <v>681</v>
      </c>
    </row>
    <row r="14" spans="1:13" ht="12.75">
      <c r="A14" s="11" t="s">
        <v>731</v>
      </c>
      <c r="B14" s="11" t="s">
        <v>305</v>
      </c>
      <c r="C14" s="11" t="s">
        <v>306</v>
      </c>
      <c r="D14" s="11" t="str">
        <f>"0,6666"</f>
        <v>0,6666</v>
      </c>
      <c r="E14" s="11" t="s">
        <v>193</v>
      </c>
      <c r="F14" s="11" t="s">
        <v>194</v>
      </c>
      <c r="G14" s="12" t="s">
        <v>104</v>
      </c>
      <c r="H14" s="12" t="s">
        <v>23</v>
      </c>
      <c r="I14" s="13" t="s">
        <v>112</v>
      </c>
      <c r="J14" s="13"/>
      <c r="K14" s="11" t="str">
        <f>"70,0"</f>
        <v>70,0</v>
      </c>
      <c r="L14" s="12" t="str">
        <f>"46,6620"</f>
        <v>46,6620</v>
      </c>
      <c r="M14" s="11" t="s">
        <v>44</v>
      </c>
    </row>
    <row r="15" spans="1:13" ht="12.75">
      <c r="A15" s="11" t="s">
        <v>733</v>
      </c>
      <c r="B15" s="11" t="s">
        <v>734</v>
      </c>
      <c r="C15" s="11" t="s">
        <v>735</v>
      </c>
      <c r="D15" s="11" t="str">
        <f>"0,6745"</f>
        <v>0,6745</v>
      </c>
      <c r="E15" s="11" t="s">
        <v>72</v>
      </c>
      <c r="F15" s="11" t="s">
        <v>49</v>
      </c>
      <c r="G15" s="12" t="s">
        <v>289</v>
      </c>
      <c r="H15" s="12" t="s">
        <v>143</v>
      </c>
      <c r="I15" s="12" t="s">
        <v>135</v>
      </c>
      <c r="J15" s="13"/>
      <c r="K15" s="11" t="str">
        <f>"62,5"</f>
        <v>62,5</v>
      </c>
      <c r="L15" s="12" t="str">
        <f>"42,1562"</f>
        <v>42,1562</v>
      </c>
      <c r="M15" s="11" t="s">
        <v>382</v>
      </c>
    </row>
    <row r="16" spans="1:13" ht="12.75">
      <c r="A16" s="11" t="s">
        <v>737</v>
      </c>
      <c r="B16" s="11" t="s">
        <v>738</v>
      </c>
      <c r="C16" s="11" t="s">
        <v>739</v>
      </c>
      <c r="D16" s="11" t="str">
        <f>"0,6767"</f>
        <v>0,6767</v>
      </c>
      <c r="E16" s="11" t="s">
        <v>33</v>
      </c>
      <c r="F16" s="11" t="s">
        <v>19</v>
      </c>
      <c r="G16" s="12" t="s">
        <v>143</v>
      </c>
      <c r="H16" s="13" t="s">
        <v>135</v>
      </c>
      <c r="I16" s="13" t="s">
        <v>135</v>
      </c>
      <c r="J16" s="13"/>
      <c r="K16" s="11" t="str">
        <f>"57,5"</f>
        <v>57,5</v>
      </c>
      <c r="L16" s="12" t="str">
        <f>"38,9102"</f>
        <v>38,9102</v>
      </c>
      <c r="M16" s="11" t="s">
        <v>44</v>
      </c>
    </row>
    <row r="17" spans="1:13" ht="12.75">
      <c r="A17" s="14" t="s">
        <v>740</v>
      </c>
      <c r="B17" s="14" t="s">
        <v>643</v>
      </c>
      <c r="C17" s="14" t="s">
        <v>644</v>
      </c>
      <c r="D17" s="14" t="str">
        <f>"0,6673"</f>
        <v>0,6673</v>
      </c>
      <c r="E17" s="14" t="s">
        <v>297</v>
      </c>
      <c r="F17" s="14" t="s">
        <v>49</v>
      </c>
      <c r="G17" s="17" t="s">
        <v>151</v>
      </c>
      <c r="H17" s="17" t="s">
        <v>289</v>
      </c>
      <c r="I17" s="17" t="s">
        <v>143</v>
      </c>
      <c r="J17" s="15"/>
      <c r="K17" s="14" t="str">
        <f>"57,5"</f>
        <v>57,5</v>
      </c>
      <c r="L17" s="17" t="str">
        <f>"38,3697"</f>
        <v>38,3697</v>
      </c>
      <c r="M17" s="14" t="s">
        <v>44</v>
      </c>
    </row>
    <row r="19" spans="1:12" ht="15">
      <c r="A19" s="52" t="s">
        <v>45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8" t="s">
        <v>690</v>
      </c>
      <c r="B20" s="8" t="s">
        <v>691</v>
      </c>
      <c r="C20" s="8" t="s">
        <v>692</v>
      </c>
      <c r="D20" s="8" t="str">
        <f>"0,6309"</f>
        <v>0,6309</v>
      </c>
      <c r="E20" s="8" t="s">
        <v>678</v>
      </c>
      <c r="F20" s="8" t="s">
        <v>679</v>
      </c>
      <c r="G20" s="9" t="s">
        <v>114</v>
      </c>
      <c r="H20" s="9" t="s">
        <v>115</v>
      </c>
      <c r="I20" s="9" t="s">
        <v>151</v>
      </c>
      <c r="J20" s="10"/>
      <c r="K20" s="8" t="str">
        <f>"50,0"</f>
        <v>50,0</v>
      </c>
      <c r="L20" s="9" t="str">
        <f>"33,4403"</f>
        <v>33,4403</v>
      </c>
      <c r="M20" s="8" t="s">
        <v>681</v>
      </c>
    </row>
    <row r="21" spans="1:13" ht="12.75">
      <c r="A21" s="11" t="s">
        <v>741</v>
      </c>
      <c r="B21" s="11" t="s">
        <v>509</v>
      </c>
      <c r="C21" s="11" t="s">
        <v>500</v>
      </c>
      <c r="D21" s="11" t="str">
        <f>"0,6361"</f>
        <v>0,6361</v>
      </c>
      <c r="E21" s="11" t="s">
        <v>123</v>
      </c>
      <c r="F21" s="11" t="s">
        <v>49</v>
      </c>
      <c r="G21" s="12" t="s">
        <v>105</v>
      </c>
      <c r="H21" s="13" t="s">
        <v>111</v>
      </c>
      <c r="I21" s="12" t="s">
        <v>111</v>
      </c>
      <c r="J21" s="13"/>
      <c r="K21" s="11" t="str">
        <f>"75,0"</f>
        <v>75,0</v>
      </c>
      <c r="L21" s="12" t="str">
        <f>"47,7075"</f>
        <v>47,7075</v>
      </c>
      <c r="M21" s="11" t="s">
        <v>44</v>
      </c>
    </row>
    <row r="22" spans="1:13" ht="12.75">
      <c r="A22" s="11" t="s">
        <v>742</v>
      </c>
      <c r="B22" s="11" t="s">
        <v>419</v>
      </c>
      <c r="C22" s="11" t="s">
        <v>420</v>
      </c>
      <c r="D22" s="11" t="str">
        <f>"0,6198"</f>
        <v>0,6198</v>
      </c>
      <c r="E22" s="11" t="s">
        <v>72</v>
      </c>
      <c r="F22" s="11" t="s">
        <v>49</v>
      </c>
      <c r="G22" s="12" t="s">
        <v>135</v>
      </c>
      <c r="H22" s="12" t="s">
        <v>22</v>
      </c>
      <c r="I22" s="13" t="s">
        <v>24</v>
      </c>
      <c r="J22" s="13"/>
      <c r="K22" s="11" t="str">
        <f>"67,5"</f>
        <v>67,5</v>
      </c>
      <c r="L22" s="12" t="str">
        <f>"41,8365"</f>
        <v>41,8365</v>
      </c>
      <c r="M22" s="11" t="s">
        <v>78</v>
      </c>
    </row>
    <row r="23" spans="1:13" ht="12.75">
      <c r="A23" s="11" t="s">
        <v>504</v>
      </c>
      <c r="B23" s="11" t="s">
        <v>505</v>
      </c>
      <c r="C23" s="11" t="s">
        <v>506</v>
      </c>
      <c r="D23" s="11" t="str">
        <f>"0,6276"</f>
        <v>0,6276</v>
      </c>
      <c r="E23" s="11" t="s">
        <v>188</v>
      </c>
      <c r="F23" s="11" t="s">
        <v>49</v>
      </c>
      <c r="G23" s="12" t="s">
        <v>134</v>
      </c>
      <c r="H23" s="12" t="s">
        <v>135</v>
      </c>
      <c r="I23" s="13" t="s">
        <v>105</v>
      </c>
      <c r="J23" s="13"/>
      <c r="K23" s="11" t="str">
        <f>"62,5"</f>
        <v>62,5</v>
      </c>
      <c r="L23" s="12" t="str">
        <f>"39,2250"</f>
        <v>39,2250</v>
      </c>
      <c r="M23" s="11" t="s">
        <v>189</v>
      </c>
    </row>
    <row r="24" spans="1:13" ht="12.75">
      <c r="A24" s="11" t="s">
        <v>744</v>
      </c>
      <c r="B24" s="11" t="s">
        <v>745</v>
      </c>
      <c r="C24" s="11" t="s">
        <v>746</v>
      </c>
      <c r="D24" s="11" t="str">
        <f>"0,6290"</f>
        <v>0,6290</v>
      </c>
      <c r="E24" s="11" t="s">
        <v>33</v>
      </c>
      <c r="F24" s="11" t="s">
        <v>49</v>
      </c>
      <c r="G24" s="12" t="s">
        <v>151</v>
      </c>
      <c r="H24" s="13" t="s">
        <v>134</v>
      </c>
      <c r="I24" s="12" t="s">
        <v>143</v>
      </c>
      <c r="J24" s="13"/>
      <c r="K24" s="11" t="str">
        <f>"57,5"</f>
        <v>57,5</v>
      </c>
      <c r="L24" s="12" t="str">
        <f>"36,1675"</f>
        <v>36,1675</v>
      </c>
      <c r="M24" s="11" t="s">
        <v>44</v>
      </c>
    </row>
    <row r="25" spans="1:13" ht="12.75">
      <c r="A25" s="14" t="s">
        <v>748</v>
      </c>
      <c r="B25" s="14" t="s">
        <v>749</v>
      </c>
      <c r="C25" s="14" t="s">
        <v>48</v>
      </c>
      <c r="D25" s="14" t="str">
        <f>"0,6257"</f>
        <v>0,6257</v>
      </c>
      <c r="E25" s="14" t="s">
        <v>188</v>
      </c>
      <c r="F25" s="14" t="s">
        <v>49</v>
      </c>
      <c r="G25" s="17" t="s">
        <v>151</v>
      </c>
      <c r="H25" s="17" t="s">
        <v>134</v>
      </c>
      <c r="I25" s="15" t="s">
        <v>135</v>
      </c>
      <c r="J25" s="15"/>
      <c r="K25" s="14" t="str">
        <f>"55,0"</f>
        <v>55,0</v>
      </c>
      <c r="L25" s="17" t="str">
        <f>"34,4135"</f>
        <v>34,4135</v>
      </c>
      <c r="M25" s="14" t="s">
        <v>189</v>
      </c>
    </row>
    <row r="27" spans="1:12" ht="15">
      <c r="A27" s="52" t="s">
        <v>205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3" ht="12.75">
      <c r="A28" s="8" t="s">
        <v>751</v>
      </c>
      <c r="B28" s="8" t="s">
        <v>752</v>
      </c>
      <c r="C28" s="8" t="s">
        <v>753</v>
      </c>
      <c r="D28" s="8" t="str">
        <f>"0,6086"</f>
        <v>0,6086</v>
      </c>
      <c r="E28" s="8" t="s">
        <v>188</v>
      </c>
      <c r="F28" s="8" t="s">
        <v>49</v>
      </c>
      <c r="G28" s="10" t="s">
        <v>105</v>
      </c>
      <c r="H28" s="9" t="s">
        <v>105</v>
      </c>
      <c r="I28" s="10" t="s">
        <v>22</v>
      </c>
      <c r="J28" s="10"/>
      <c r="K28" s="8" t="str">
        <f>"65,0"</f>
        <v>65,0</v>
      </c>
      <c r="L28" s="9" t="str">
        <f>"39,5558"</f>
        <v>39,5558</v>
      </c>
      <c r="M28" s="8" t="s">
        <v>189</v>
      </c>
    </row>
    <row r="29" spans="1:13" ht="12.75">
      <c r="A29" s="11" t="s">
        <v>755</v>
      </c>
      <c r="B29" s="11" t="s">
        <v>756</v>
      </c>
      <c r="C29" s="11" t="s">
        <v>757</v>
      </c>
      <c r="D29" s="11" t="str">
        <f>"0,5895"</f>
        <v>0,5895</v>
      </c>
      <c r="E29" s="11" t="s">
        <v>123</v>
      </c>
      <c r="F29" s="11" t="s">
        <v>49</v>
      </c>
      <c r="G29" s="12" t="s">
        <v>289</v>
      </c>
      <c r="H29" s="12" t="s">
        <v>134</v>
      </c>
      <c r="I29" s="13" t="s">
        <v>135</v>
      </c>
      <c r="J29" s="13"/>
      <c r="K29" s="11" t="str">
        <f>"55,0"</f>
        <v>55,0</v>
      </c>
      <c r="L29" s="12" t="str">
        <f>"32,4225"</f>
        <v>32,4225</v>
      </c>
      <c r="M29" s="11" t="s">
        <v>44</v>
      </c>
    </row>
    <row r="30" spans="1:13" ht="12.75">
      <c r="A30" s="11" t="s">
        <v>758</v>
      </c>
      <c r="B30" s="11" t="s">
        <v>208</v>
      </c>
      <c r="C30" s="11" t="s">
        <v>345</v>
      </c>
      <c r="D30" s="11" t="str">
        <f>"0,5885"</f>
        <v>0,5885</v>
      </c>
      <c r="E30" s="11" t="s">
        <v>193</v>
      </c>
      <c r="F30" s="11" t="s">
        <v>194</v>
      </c>
      <c r="G30" s="12" t="s">
        <v>150</v>
      </c>
      <c r="H30" s="12" t="s">
        <v>114</v>
      </c>
      <c r="I30" s="12" t="s">
        <v>289</v>
      </c>
      <c r="J30" s="13"/>
      <c r="K30" s="11" t="str">
        <f>"52,5"</f>
        <v>52,5</v>
      </c>
      <c r="L30" s="12" t="str">
        <f>"30,8963"</f>
        <v>30,8963</v>
      </c>
      <c r="M30" s="11" t="s">
        <v>195</v>
      </c>
    </row>
    <row r="31" spans="1:13" ht="12.75">
      <c r="A31" s="14" t="s">
        <v>759</v>
      </c>
      <c r="B31" s="14" t="s">
        <v>212</v>
      </c>
      <c r="C31" s="14" t="s">
        <v>213</v>
      </c>
      <c r="D31" s="14" t="str">
        <f>"0,5855"</f>
        <v>0,5855</v>
      </c>
      <c r="E31" s="14" t="s">
        <v>193</v>
      </c>
      <c r="F31" s="14" t="s">
        <v>194</v>
      </c>
      <c r="G31" s="17" t="s">
        <v>150</v>
      </c>
      <c r="H31" s="17" t="s">
        <v>114</v>
      </c>
      <c r="I31" s="17" t="s">
        <v>289</v>
      </c>
      <c r="J31" s="15"/>
      <c r="K31" s="14" t="str">
        <f>"52,5"</f>
        <v>52,5</v>
      </c>
      <c r="L31" s="17" t="str">
        <f>"30,7388"</f>
        <v>30,7388</v>
      </c>
      <c r="M31" s="14" t="s">
        <v>195</v>
      </c>
    </row>
    <row r="33" spans="1:12" ht="15">
      <c r="A33" s="52" t="s">
        <v>68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3" ht="12.75">
      <c r="A34" s="8" t="s">
        <v>761</v>
      </c>
      <c r="B34" s="8" t="s">
        <v>762</v>
      </c>
      <c r="C34" s="8" t="s">
        <v>763</v>
      </c>
      <c r="D34" s="8" t="str">
        <f>"0,5642"</f>
        <v>0,5642</v>
      </c>
      <c r="E34" s="8" t="s">
        <v>678</v>
      </c>
      <c r="F34" s="8" t="s">
        <v>679</v>
      </c>
      <c r="G34" s="9" t="s">
        <v>105</v>
      </c>
      <c r="H34" s="9" t="s">
        <v>22</v>
      </c>
      <c r="I34" s="9" t="s">
        <v>23</v>
      </c>
      <c r="J34" s="10"/>
      <c r="K34" s="8" t="str">
        <f>"70,0"</f>
        <v>70,0</v>
      </c>
      <c r="L34" s="9" t="str">
        <f>"39,4940"</f>
        <v>39,4940</v>
      </c>
      <c r="M34" s="8" t="s">
        <v>681</v>
      </c>
    </row>
    <row r="35" spans="1:13" ht="12.75">
      <c r="A35" s="11" t="s">
        <v>765</v>
      </c>
      <c r="B35" s="11" t="s">
        <v>766</v>
      </c>
      <c r="C35" s="11" t="s">
        <v>767</v>
      </c>
      <c r="D35" s="11" t="str">
        <f>"0,5570"</f>
        <v>0,5570</v>
      </c>
      <c r="E35" s="11" t="s">
        <v>33</v>
      </c>
      <c r="F35" s="11" t="s">
        <v>49</v>
      </c>
      <c r="G35" s="12" t="s">
        <v>134</v>
      </c>
      <c r="H35" s="12" t="s">
        <v>135</v>
      </c>
      <c r="I35" s="13" t="s">
        <v>22</v>
      </c>
      <c r="J35" s="13"/>
      <c r="K35" s="11" t="str">
        <f>"62,5"</f>
        <v>62,5</v>
      </c>
      <c r="L35" s="12" t="str">
        <f>"34,8125"</f>
        <v>34,8125</v>
      </c>
      <c r="M35" s="11" t="s">
        <v>44</v>
      </c>
    </row>
    <row r="36" spans="1:13" ht="12.75">
      <c r="A36" s="14" t="s">
        <v>768</v>
      </c>
      <c r="B36" s="14" t="s">
        <v>769</v>
      </c>
      <c r="C36" s="14" t="s">
        <v>767</v>
      </c>
      <c r="D36" s="14" t="str">
        <f>"0,5570"</f>
        <v>0,5570</v>
      </c>
      <c r="E36" s="14" t="s">
        <v>33</v>
      </c>
      <c r="F36" s="14" t="s">
        <v>49</v>
      </c>
      <c r="G36" s="17" t="s">
        <v>134</v>
      </c>
      <c r="H36" s="17" t="s">
        <v>135</v>
      </c>
      <c r="I36" s="15" t="s">
        <v>22</v>
      </c>
      <c r="J36" s="15"/>
      <c r="K36" s="14" t="str">
        <f>"62,5"</f>
        <v>62,5</v>
      </c>
      <c r="L36" s="17" t="str">
        <f>"49,7819"</f>
        <v>49,7819</v>
      </c>
      <c r="M36" s="14" t="s">
        <v>44</v>
      </c>
    </row>
    <row r="38" spans="1:12" ht="15">
      <c r="A38" s="52" t="s">
        <v>166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3" ht="12.75">
      <c r="A39" s="5" t="s">
        <v>770</v>
      </c>
      <c r="B39" s="5" t="s">
        <v>380</v>
      </c>
      <c r="C39" s="5" t="s">
        <v>381</v>
      </c>
      <c r="D39" s="5" t="str">
        <f>"0,5395"</f>
        <v>0,5395</v>
      </c>
      <c r="E39" s="5" t="s">
        <v>72</v>
      </c>
      <c r="F39" s="5" t="s">
        <v>49</v>
      </c>
      <c r="G39" s="7" t="s">
        <v>105</v>
      </c>
      <c r="H39" s="7" t="s">
        <v>24</v>
      </c>
      <c r="I39" s="7" t="s">
        <v>111</v>
      </c>
      <c r="J39" s="6"/>
      <c r="K39" s="5" t="str">
        <f>"75,0"</f>
        <v>75,0</v>
      </c>
      <c r="L39" s="7" t="str">
        <f>"40,4625"</f>
        <v>40,4625</v>
      </c>
      <c r="M39" s="5" t="s">
        <v>382</v>
      </c>
    </row>
    <row r="41" spans="1:12" ht="15">
      <c r="A41" s="52" t="s">
        <v>237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3" ht="12.75">
      <c r="A42" s="5" t="s">
        <v>239</v>
      </c>
      <c r="B42" s="5" t="s">
        <v>240</v>
      </c>
      <c r="C42" s="5" t="s">
        <v>241</v>
      </c>
      <c r="D42" s="5" t="str">
        <f>"0,5298"</f>
        <v>0,5298</v>
      </c>
      <c r="E42" s="5" t="s">
        <v>123</v>
      </c>
      <c r="F42" s="5" t="s">
        <v>49</v>
      </c>
      <c r="G42" s="7" t="s">
        <v>127</v>
      </c>
      <c r="H42" s="7" t="s">
        <v>124</v>
      </c>
      <c r="I42" s="6" t="s">
        <v>102</v>
      </c>
      <c r="J42" s="6"/>
      <c r="K42" s="5" t="str">
        <f>"95,0"</f>
        <v>95,0</v>
      </c>
      <c r="L42" s="7" t="str">
        <f>"50,3310"</f>
        <v>50,3310</v>
      </c>
      <c r="M42" s="5" t="s">
        <v>44</v>
      </c>
    </row>
    <row r="44" spans="1:12" ht="15">
      <c r="A44" s="52" t="s">
        <v>437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3" ht="12.75">
      <c r="A45" s="5" t="s">
        <v>439</v>
      </c>
      <c r="B45" s="5" t="s">
        <v>440</v>
      </c>
      <c r="C45" s="5" t="s">
        <v>441</v>
      </c>
      <c r="D45" s="5" t="str">
        <f>"0,5171"</f>
        <v>0,5171</v>
      </c>
      <c r="E45" s="5" t="s">
        <v>442</v>
      </c>
      <c r="F45" s="5" t="s">
        <v>49</v>
      </c>
      <c r="G45" s="7" t="s">
        <v>105</v>
      </c>
      <c r="H45" s="7" t="s">
        <v>22</v>
      </c>
      <c r="I45" s="7" t="s">
        <v>23</v>
      </c>
      <c r="J45" s="6"/>
      <c r="K45" s="5" t="str">
        <f>"70,0"</f>
        <v>70,0</v>
      </c>
      <c r="L45" s="7" t="str">
        <f>"36,1970"</f>
        <v>36,1970</v>
      </c>
      <c r="M45" s="5" t="s">
        <v>44</v>
      </c>
    </row>
    <row r="47" spans="5:6" ht="15">
      <c r="E47" s="16" t="s">
        <v>79</v>
      </c>
      <c r="F47" s="16" t="s">
        <v>798</v>
      </c>
    </row>
    <row r="48" spans="5:6" ht="15">
      <c r="E48" s="16" t="s">
        <v>80</v>
      </c>
      <c r="F48" s="16" t="s">
        <v>799</v>
      </c>
    </row>
    <row r="49" spans="5:6" ht="15">
      <c r="E49" s="16" t="s">
        <v>81</v>
      </c>
      <c r="F49" s="16" t="s">
        <v>801</v>
      </c>
    </row>
    <row r="50" spans="5:6" ht="15">
      <c r="E50" s="16" t="s">
        <v>82</v>
      </c>
      <c r="F50" s="16" t="s">
        <v>800</v>
      </c>
    </row>
    <row r="51" spans="5:6" ht="15">
      <c r="E51" s="16" t="s">
        <v>82</v>
      </c>
      <c r="F51" s="16" t="s">
        <v>798</v>
      </c>
    </row>
    <row r="53" ht="15">
      <c r="E53" s="16"/>
    </row>
    <row r="55" spans="1:2" ht="18">
      <c r="A55" s="18" t="s">
        <v>83</v>
      </c>
      <c r="B55" s="18"/>
    </row>
    <row r="56" spans="1:2" ht="15">
      <c r="A56" s="19" t="s">
        <v>92</v>
      </c>
      <c r="B56" s="19"/>
    </row>
    <row r="57" spans="1:2" ht="14.25">
      <c r="A57" s="21"/>
      <c r="B57" s="22" t="s">
        <v>85</v>
      </c>
    </row>
    <row r="58" spans="1:5" ht="15">
      <c r="A58" s="23" t="s">
        <v>86</v>
      </c>
      <c r="B58" s="23" t="s">
        <v>87</v>
      </c>
      <c r="C58" s="23" t="s">
        <v>88</v>
      </c>
      <c r="D58" s="23" t="s">
        <v>89</v>
      </c>
      <c r="E58" s="23" t="s">
        <v>90</v>
      </c>
    </row>
    <row r="59" spans="1:5" ht="12.75">
      <c r="A59" s="20" t="s">
        <v>238</v>
      </c>
      <c r="B59" s="4" t="s">
        <v>85</v>
      </c>
      <c r="C59" s="4" t="s">
        <v>246</v>
      </c>
      <c r="D59" s="4" t="s">
        <v>124</v>
      </c>
      <c r="E59" s="24" t="s">
        <v>771</v>
      </c>
    </row>
    <row r="60" spans="1:5" ht="12.75">
      <c r="A60" s="20" t="s">
        <v>697</v>
      </c>
      <c r="B60" s="4" t="s">
        <v>85</v>
      </c>
      <c r="C60" s="4" t="s">
        <v>93</v>
      </c>
      <c r="D60" s="4" t="s">
        <v>24</v>
      </c>
      <c r="E60" s="24" t="s">
        <v>772</v>
      </c>
    </row>
    <row r="61" spans="1:5" ht="12.75">
      <c r="A61" s="20" t="s">
        <v>719</v>
      </c>
      <c r="B61" s="4" t="s">
        <v>85</v>
      </c>
      <c r="C61" s="4" t="s">
        <v>171</v>
      </c>
      <c r="D61" s="4" t="s">
        <v>104</v>
      </c>
      <c r="E61" s="24" t="s">
        <v>773</v>
      </c>
    </row>
    <row r="62" spans="1:5" ht="12.75">
      <c r="A62" s="20" t="s">
        <v>507</v>
      </c>
      <c r="B62" s="4" t="s">
        <v>85</v>
      </c>
      <c r="C62" s="4" t="s">
        <v>95</v>
      </c>
      <c r="D62" s="4" t="s">
        <v>111</v>
      </c>
      <c r="E62" s="24" t="s">
        <v>774</v>
      </c>
    </row>
    <row r="63" spans="1:5" ht="12.75">
      <c r="A63" s="20" t="s">
        <v>303</v>
      </c>
      <c r="B63" s="4" t="s">
        <v>85</v>
      </c>
      <c r="C63" s="4" t="s">
        <v>93</v>
      </c>
      <c r="D63" s="4" t="s">
        <v>23</v>
      </c>
      <c r="E63" s="24" t="s">
        <v>775</v>
      </c>
    </row>
    <row r="64" spans="1:5" ht="12.75">
      <c r="A64" s="20" t="s">
        <v>724</v>
      </c>
      <c r="B64" s="4" t="s">
        <v>85</v>
      </c>
      <c r="C64" s="4" t="s">
        <v>173</v>
      </c>
      <c r="D64" s="4" t="s">
        <v>135</v>
      </c>
      <c r="E64" s="24" t="s">
        <v>776</v>
      </c>
    </row>
    <row r="65" spans="1:5" ht="12.75">
      <c r="A65" s="20" t="s">
        <v>727</v>
      </c>
      <c r="B65" s="4" t="s">
        <v>85</v>
      </c>
      <c r="C65" s="4" t="s">
        <v>173</v>
      </c>
      <c r="D65" s="4" t="s">
        <v>143</v>
      </c>
      <c r="E65" s="24" t="s">
        <v>777</v>
      </c>
    </row>
    <row r="66" spans="1:5" ht="12.75">
      <c r="A66" s="20" t="s">
        <v>732</v>
      </c>
      <c r="B66" s="4" t="s">
        <v>85</v>
      </c>
      <c r="C66" s="4" t="s">
        <v>93</v>
      </c>
      <c r="D66" s="4" t="s">
        <v>135</v>
      </c>
      <c r="E66" s="24" t="s">
        <v>778</v>
      </c>
    </row>
    <row r="67" spans="1:5" ht="12.75">
      <c r="A67" s="20" t="s">
        <v>417</v>
      </c>
      <c r="B67" s="4" t="s">
        <v>85</v>
      </c>
      <c r="C67" s="4" t="s">
        <v>95</v>
      </c>
      <c r="D67" s="4" t="s">
        <v>22</v>
      </c>
      <c r="E67" s="24" t="s">
        <v>779</v>
      </c>
    </row>
    <row r="68" spans="1:5" ht="12.75">
      <c r="A68" s="20" t="s">
        <v>378</v>
      </c>
      <c r="B68" s="4" t="s">
        <v>85</v>
      </c>
      <c r="C68" s="4" t="s">
        <v>174</v>
      </c>
      <c r="D68" s="4" t="s">
        <v>111</v>
      </c>
      <c r="E68" s="24" t="s">
        <v>780</v>
      </c>
    </row>
    <row r="69" spans="1:5" ht="12.75">
      <c r="A69" s="20" t="s">
        <v>750</v>
      </c>
      <c r="B69" s="4" t="s">
        <v>85</v>
      </c>
      <c r="C69" s="4" t="s">
        <v>254</v>
      </c>
      <c r="D69" s="4" t="s">
        <v>105</v>
      </c>
      <c r="E69" s="24" t="s">
        <v>781</v>
      </c>
    </row>
    <row r="70" spans="1:5" ht="12.75">
      <c r="A70" s="20" t="s">
        <v>760</v>
      </c>
      <c r="B70" s="4" t="s">
        <v>85</v>
      </c>
      <c r="C70" s="4" t="s">
        <v>94</v>
      </c>
      <c r="D70" s="4" t="s">
        <v>23</v>
      </c>
      <c r="E70" s="24" t="s">
        <v>782</v>
      </c>
    </row>
    <row r="71" spans="1:5" ht="12.75">
      <c r="A71" s="20" t="s">
        <v>503</v>
      </c>
      <c r="B71" s="4" t="s">
        <v>85</v>
      </c>
      <c r="C71" s="4" t="s">
        <v>95</v>
      </c>
      <c r="D71" s="4" t="s">
        <v>135</v>
      </c>
      <c r="E71" s="24" t="s">
        <v>783</v>
      </c>
    </row>
    <row r="72" spans="1:5" ht="12.75">
      <c r="A72" s="20" t="s">
        <v>736</v>
      </c>
      <c r="B72" s="4" t="s">
        <v>85</v>
      </c>
      <c r="C72" s="4" t="s">
        <v>93</v>
      </c>
      <c r="D72" s="4" t="s">
        <v>143</v>
      </c>
      <c r="E72" s="24" t="s">
        <v>784</v>
      </c>
    </row>
    <row r="73" spans="1:5" ht="12.75">
      <c r="A73" s="20" t="s">
        <v>641</v>
      </c>
      <c r="B73" s="4" t="s">
        <v>85</v>
      </c>
      <c r="C73" s="4" t="s">
        <v>93</v>
      </c>
      <c r="D73" s="4" t="s">
        <v>143</v>
      </c>
      <c r="E73" s="24" t="s">
        <v>785</v>
      </c>
    </row>
    <row r="74" spans="1:5" ht="12.75">
      <c r="A74" s="20" t="s">
        <v>438</v>
      </c>
      <c r="B74" s="4" t="s">
        <v>85</v>
      </c>
      <c r="C74" s="4" t="s">
        <v>449</v>
      </c>
      <c r="D74" s="4" t="s">
        <v>23</v>
      </c>
      <c r="E74" s="24" t="s">
        <v>786</v>
      </c>
    </row>
    <row r="75" spans="1:5" ht="12.75">
      <c r="A75" s="20" t="s">
        <v>743</v>
      </c>
      <c r="B75" s="4" t="s">
        <v>85</v>
      </c>
      <c r="C75" s="4" t="s">
        <v>95</v>
      </c>
      <c r="D75" s="4" t="s">
        <v>143</v>
      </c>
      <c r="E75" s="24" t="s">
        <v>787</v>
      </c>
    </row>
    <row r="76" spans="1:5" ht="12.75">
      <c r="A76" s="20" t="s">
        <v>764</v>
      </c>
      <c r="B76" s="4" t="s">
        <v>85</v>
      </c>
      <c r="C76" s="4" t="s">
        <v>94</v>
      </c>
      <c r="D76" s="4" t="s">
        <v>135</v>
      </c>
      <c r="E76" s="24" t="s">
        <v>788</v>
      </c>
    </row>
    <row r="77" spans="1:5" ht="12.75">
      <c r="A77" s="20" t="s">
        <v>747</v>
      </c>
      <c r="B77" s="4" t="s">
        <v>85</v>
      </c>
      <c r="C77" s="4" t="s">
        <v>95</v>
      </c>
      <c r="D77" s="4" t="s">
        <v>134</v>
      </c>
      <c r="E77" s="24" t="s">
        <v>789</v>
      </c>
    </row>
    <row r="78" spans="1:5" ht="12.75">
      <c r="A78" s="20" t="s">
        <v>754</v>
      </c>
      <c r="B78" s="4" t="s">
        <v>85</v>
      </c>
      <c r="C78" s="4" t="s">
        <v>254</v>
      </c>
      <c r="D78" s="4" t="s">
        <v>134</v>
      </c>
      <c r="E78" s="24" t="s">
        <v>790</v>
      </c>
    </row>
    <row r="79" spans="1:5" ht="12.75">
      <c r="A79" s="20" t="s">
        <v>206</v>
      </c>
      <c r="B79" s="4" t="s">
        <v>85</v>
      </c>
      <c r="C79" s="4" t="s">
        <v>254</v>
      </c>
      <c r="D79" s="4" t="s">
        <v>289</v>
      </c>
      <c r="E79" s="24" t="s">
        <v>791</v>
      </c>
    </row>
    <row r="80" spans="1:5" ht="12.75">
      <c r="A80" s="20" t="s">
        <v>210</v>
      </c>
      <c r="B80" s="4" t="s">
        <v>85</v>
      </c>
      <c r="C80" s="4" t="s">
        <v>254</v>
      </c>
      <c r="D80" s="4" t="s">
        <v>289</v>
      </c>
      <c r="E80" s="24" t="s">
        <v>792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44:L44"/>
    <mergeCell ref="K3:K4"/>
    <mergeCell ref="L3:L4"/>
    <mergeCell ref="M3:M4"/>
    <mergeCell ref="A5:L5"/>
    <mergeCell ref="A8:L8"/>
    <mergeCell ref="A12:L12"/>
    <mergeCell ref="A19:L19"/>
    <mergeCell ref="A27:L27"/>
    <mergeCell ref="A33:L33"/>
    <mergeCell ref="A38:L38"/>
    <mergeCell ref="A41:L4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6.875" style="4" bestFit="1" customWidth="1"/>
    <col min="7" max="10" width="4.625" style="3" bestFit="1" customWidth="1"/>
    <col min="11" max="11" width="7.753906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718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793</v>
      </c>
      <c r="B6" s="5" t="s">
        <v>794</v>
      </c>
      <c r="C6" s="5" t="s">
        <v>58</v>
      </c>
      <c r="D6" s="5" t="str">
        <f>"0,6281"</f>
        <v>0,6281</v>
      </c>
      <c r="E6" s="5" t="s">
        <v>33</v>
      </c>
      <c r="F6" s="5" t="s">
        <v>49</v>
      </c>
      <c r="G6" s="7" t="s">
        <v>105</v>
      </c>
      <c r="H6" s="6" t="s">
        <v>23</v>
      </c>
      <c r="I6" s="7" t="s">
        <v>23</v>
      </c>
      <c r="J6" s="6"/>
      <c r="K6" s="5" t="str">
        <f>"70,0"</f>
        <v>70,0</v>
      </c>
      <c r="L6" s="7" t="str">
        <f>"43,9705"</f>
        <v>43,9705</v>
      </c>
      <c r="M6" s="5" t="s">
        <v>44</v>
      </c>
    </row>
    <row r="8" spans="1:12" ht="15">
      <c r="A8" s="52" t="s">
        <v>68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8" t="s">
        <v>596</v>
      </c>
      <c r="B9" s="8" t="s">
        <v>407</v>
      </c>
      <c r="C9" s="8" t="s">
        <v>408</v>
      </c>
      <c r="D9" s="8" t="str">
        <f>"0,5710"</f>
        <v>0,5710</v>
      </c>
      <c r="E9" s="8" t="s">
        <v>33</v>
      </c>
      <c r="F9" s="8" t="s">
        <v>409</v>
      </c>
      <c r="G9" s="9" t="s">
        <v>22</v>
      </c>
      <c r="H9" s="9" t="s">
        <v>111</v>
      </c>
      <c r="I9" s="9" t="s">
        <v>279</v>
      </c>
      <c r="J9" s="10"/>
      <c r="K9" s="8" t="str">
        <f>"80,0"</f>
        <v>80,0</v>
      </c>
      <c r="L9" s="9" t="str">
        <f>"45,6800"</f>
        <v>45,6800</v>
      </c>
      <c r="M9" s="8" t="s">
        <v>44</v>
      </c>
    </row>
    <row r="10" spans="1:13" ht="12.75">
      <c r="A10" s="14" t="s">
        <v>795</v>
      </c>
      <c r="B10" s="14" t="s">
        <v>796</v>
      </c>
      <c r="C10" s="14" t="s">
        <v>797</v>
      </c>
      <c r="D10" s="14" t="str">
        <f>"0,5678"</f>
        <v>0,5678</v>
      </c>
      <c r="E10" s="14" t="s">
        <v>59</v>
      </c>
      <c r="F10" s="14" t="s">
        <v>49</v>
      </c>
      <c r="G10" s="17" t="s">
        <v>22</v>
      </c>
      <c r="H10" s="17" t="s">
        <v>23</v>
      </c>
      <c r="I10" s="17" t="s">
        <v>111</v>
      </c>
      <c r="J10" s="15"/>
      <c r="K10" s="14" t="str">
        <f>"75,0"</f>
        <v>75,0</v>
      </c>
      <c r="L10" s="17" t="str">
        <f>"42,5850"</f>
        <v>42,5850</v>
      </c>
      <c r="M10" s="14" t="s">
        <v>63</v>
      </c>
    </row>
    <row r="12" spans="5:6" ht="15">
      <c r="E12" s="16" t="s">
        <v>79</v>
      </c>
      <c r="F12" s="16" t="s">
        <v>798</v>
      </c>
    </row>
    <row r="13" spans="5:6" ht="15">
      <c r="E13" s="16" t="s">
        <v>80</v>
      </c>
      <c r="F13" s="16" t="s">
        <v>799</v>
      </c>
    </row>
    <row r="14" spans="5:6" ht="15">
      <c r="E14" s="16" t="s">
        <v>81</v>
      </c>
      <c r="F14" s="16" t="s">
        <v>801</v>
      </c>
    </row>
    <row r="15" spans="5:6" ht="15">
      <c r="E15" s="16" t="s">
        <v>82</v>
      </c>
      <c r="F15" s="16" t="s">
        <v>800</v>
      </c>
    </row>
    <row r="16" spans="5:6" ht="15">
      <c r="E16" s="16" t="s">
        <v>82</v>
      </c>
      <c r="F16" s="16" t="s">
        <v>798</v>
      </c>
    </row>
    <row r="18" ht="15">
      <c r="E18" s="16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3" sqref="F3:F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5" width="7.75390625" style="4" bestFit="1" customWidth="1"/>
    <col min="16" max="16" width="8.625" style="3" bestFit="1" customWidth="1"/>
    <col min="17" max="17" width="16.125" style="4" bestFit="1" customWidth="1"/>
    <col min="18" max="16384" width="9.125" style="3" customWidth="1"/>
  </cols>
  <sheetData>
    <row r="1" spans="1:17" s="2" customFormat="1" ht="28.5" customHeight="1">
      <c r="A1" s="60" t="s">
        <v>814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12</v>
      </c>
      <c r="L3" s="54"/>
      <c r="M3" s="54"/>
      <c r="N3" s="54"/>
      <c r="O3" s="54" t="s">
        <v>1</v>
      </c>
      <c r="P3" s="54" t="s">
        <v>3</v>
      </c>
      <c r="Q3" s="56" t="s">
        <v>2</v>
      </c>
    </row>
    <row r="4" spans="1:17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34">
        <v>1</v>
      </c>
      <c r="L4" s="34">
        <v>2</v>
      </c>
      <c r="M4" s="34">
        <v>3</v>
      </c>
      <c r="N4" s="34" t="s">
        <v>5</v>
      </c>
      <c r="O4" s="55"/>
      <c r="P4" s="55"/>
      <c r="Q4" s="57"/>
    </row>
    <row r="5" spans="1:16" ht="15">
      <c r="A5" s="58" t="s">
        <v>96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2.75">
      <c r="A6" s="8" t="s">
        <v>125</v>
      </c>
      <c r="B6" s="8" t="s">
        <v>562</v>
      </c>
      <c r="C6" s="8" t="s">
        <v>110</v>
      </c>
      <c r="D6" s="8" t="str">
        <f>"0,9817"</f>
        <v>0,9817</v>
      </c>
      <c r="E6" s="8" t="s">
        <v>33</v>
      </c>
      <c r="F6" s="8" t="s">
        <v>49</v>
      </c>
      <c r="G6" s="10" t="s">
        <v>104</v>
      </c>
      <c r="H6" s="10" t="s">
        <v>104</v>
      </c>
      <c r="I6" s="9" t="s">
        <v>104</v>
      </c>
      <c r="J6" s="10"/>
      <c r="K6" s="9" t="s">
        <v>40</v>
      </c>
      <c r="L6" s="9" t="s">
        <v>51</v>
      </c>
      <c r="M6" s="9" t="s">
        <v>20</v>
      </c>
      <c r="N6" s="10"/>
      <c r="O6" s="8" t="str">
        <f>"185,0"</f>
        <v>185,0</v>
      </c>
      <c r="P6" s="9" t="str">
        <f>"181,6145"</f>
        <v>181,6145</v>
      </c>
      <c r="Q6" s="8" t="s">
        <v>44</v>
      </c>
    </row>
    <row r="7" spans="1:17" ht="12.75">
      <c r="A7" s="11" t="s">
        <v>108</v>
      </c>
      <c r="B7" s="11" t="s">
        <v>109</v>
      </c>
      <c r="C7" s="11" t="s">
        <v>110</v>
      </c>
      <c r="D7" s="11" t="str">
        <f>"0,9817"</f>
        <v>0,9817</v>
      </c>
      <c r="E7" s="11" t="s">
        <v>33</v>
      </c>
      <c r="F7" s="11" t="s">
        <v>49</v>
      </c>
      <c r="G7" s="12" t="s">
        <v>113</v>
      </c>
      <c r="H7" s="12" t="s">
        <v>114</v>
      </c>
      <c r="I7" s="12" t="s">
        <v>115</v>
      </c>
      <c r="J7" s="13"/>
      <c r="K7" s="12" t="s">
        <v>116</v>
      </c>
      <c r="L7" s="12" t="s">
        <v>38</v>
      </c>
      <c r="M7" s="12" t="s">
        <v>117</v>
      </c>
      <c r="N7" s="13"/>
      <c r="O7" s="11" t="str">
        <f>"157,5"</f>
        <v>157,5</v>
      </c>
      <c r="P7" s="12" t="str">
        <f>"154,6178"</f>
        <v>154,6178</v>
      </c>
      <c r="Q7" s="11" t="s">
        <v>118</v>
      </c>
    </row>
    <row r="8" spans="1:17" ht="12.75">
      <c r="A8" s="14" t="s">
        <v>120</v>
      </c>
      <c r="B8" s="14" t="s">
        <v>121</v>
      </c>
      <c r="C8" s="14" t="s">
        <v>122</v>
      </c>
      <c r="D8" s="14" t="str">
        <f>"0,9833"</f>
        <v>0,9833</v>
      </c>
      <c r="E8" s="14" t="s">
        <v>123</v>
      </c>
      <c r="F8" s="14" t="s">
        <v>49</v>
      </c>
      <c r="G8" s="17" t="s">
        <v>113</v>
      </c>
      <c r="H8" s="17" t="s">
        <v>114</v>
      </c>
      <c r="I8" s="15" t="s">
        <v>115</v>
      </c>
      <c r="J8" s="15"/>
      <c r="K8" s="15" t="s">
        <v>124</v>
      </c>
      <c r="L8" s="15" t="s">
        <v>124</v>
      </c>
      <c r="M8" s="17" t="s">
        <v>124</v>
      </c>
      <c r="N8" s="15"/>
      <c r="O8" s="14" t="str">
        <f>"140,0"</f>
        <v>140,0</v>
      </c>
      <c r="P8" s="17" t="str">
        <f>"137,6550"</f>
        <v>137,6550</v>
      </c>
      <c r="Q8" s="14" t="s">
        <v>118</v>
      </c>
    </row>
    <row r="10" spans="1:16" ht="15">
      <c r="A10" s="52" t="s">
        <v>138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7" ht="12.75">
      <c r="A11" s="8" t="s">
        <v>563</v>
      </c>
      <c r="B11" s="8" t="s">
        <v>564</v>
      </c>
      <c r="C11" s="8" t="s">
        <v>565</v>
      </c>
      <c r="D11" s="8" t="str">
        <f>"0,8744"</f>
        <v>0,8744</v>
      </c>
      <c r="E11" s="8" t="s">
        <v>18</v>
      </c>
      <c r="F11" s="8" t="s">
        <v>19</v>
      </c>
      <c r="G11" s="9" t="s">
        <v>151</v>
      </c>
      <c r="H11" s="9" t="s">
        <v>134</v>
      </c>
      <c r="I11" s="10" t="s">
        <v>143</v>
      </c>
      <c r="J11" s="10"/>
      <c r="K11" s="9" t="s">
        <v>102</v>
      </c>
      <c r="L11" s="9" t="s">
        <v>117</v>
      </c>
      <c r="M11" s="10" t="s">
        <v>40</v>
      </c>
      <c r="N11" s="10"/>
      <c r="O11" s="8" t="str">
        <f>"165,0"</f>
        <v>165,0</v>
      </c>
      <c r="P11" s="9" t="str">
        <f>"144,2760"</f>
        <v>144,2760</v>
      </c>
      <c r="Q11" s="8" t="s">
        <v>27</v>
      </c>
    </row>
    <row r="12" spans="1:17" ht="12.75">
      <c r="A12" s="11" t="s">
        <v>566</v>
      </c>
      <c r="B12" s="11" t="s">
        <v>567</v>
      </c>
      <c r="C12" s="11" t="s">
        <v>568</v>
      </c>
      <c r="D12" s="11" t="str">
        <f>"0,8831"</f>
        <v>0,8831</v>
      </c>
      <c r="E12" s="11" t="s">
        <v>267</v>
      </c>
      <c r="F12" s="11" t="s">
        <v>268</v>
      </c>
      <c r="G12" s="12" t="s">
        <v>274</v>
      </c>
      <c r="H12" s="13" t="s">
        <v>150</v>
      </c>
      <c r="I12" s="13" t="s">
        <v>150</v>
      </c>
      <c r="J12" s="13"/>
      <c r="K12" s="12" t="s">
        <v>279</v>
      </c>
      <c r="L12" s="12" t="s">
        <v>101</v>
      </c>
      <c r="M12" s="12" t="s">
        <v>102</v>
      </c>
      <c r="N12" s="13"/>
      <c r="O12" s="11" t="str">
        <f>"135,0"</f>
        <v>135,0</v>
      </c>
      <c r="P12" s="12" t="str">
        <f>"119,2252"</f>
        <v>119,2252</v>
      </c>
      <c r="Q12" s="11" t="s">
        <v>269</v>
      </c>
    </row>
    <row r="13" spans="1:17" ht="12.75">
      <c r="A13" s="14" t="s">
        <v>276</v>
      </c>
      <c r="B13" s="14" t="s">
        <v>277</v>
      </c>
      <c r="C13" s="14" t="s">
        <v>278</v>
      </c>
      <c r="D13" s="14" t="str">
        <f>"0,8731"</f>
        <v>0,8731</v>
      </c>
      <c r="E13" s="14" t="s">
        <v>72</v>
      </c>
      <c r="F13" s="14" t="s">
        <v>49</v>
      </c>
      <c r="G13" s="15" t="s">
        <v>134</v>
      </c>
      <c r="H13" s="15" t="s">
        <v>134</v>
      </c>
      <c r="I13" s="17" t="s">
        <v>134</v>
      </c>
      <c r="J13" s="15"/>
      <c r="K13" s="17" t="s">
        <v>117</v>
      </c>
      <c r="L13" s="17" t="s">
        <v>40</v>
      </c>
      <c r="M13" s="17" t="s">
        <v>51</v>
      </c>
      <c r="N13" s="15"/>
      <c r="O13" s="14" t="str">
        <f>"175,0"</f>
        <v>175,0</v>
      </c>
      <c r="P13" s="17" t="str">
        <f>"183,9727"</f>
        <v>183,9727</v>
      </c>
      <c r="Q13" s="14" t="s">
        <v>44</v>
      </c>
    </row>
    <row r="15" spans="1:16" ht="15">
      <c r="A15" s="52" t="s">
        <v>28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7" ht="12.75">
      <c r="A16" s="5" t="s">
        <v>30</v>
      </c>
      <c r="B16" s="5" t="s">
        <v>31</v>
      </c>
      <c r="C16" s="5" t="s">
        <v>32</v>
      </c>
      <c r="D16" s="5" t="str">
        <f>"0,6843"</f>
        <v>0,6843</v>
      </c>
      <c r="E16" s="5" t="s">
        <v>33</v>
      </c>
      <c r="F16" s="5" t="s">
        <v>34</v>
      </c>
      <c r="G16" s="7" t="s">
        <v>38</v>
      </c>
      <c r="H16" s="7" t="s">
        <v>39</v>
      </c>
      <c r="I16" s="6" t="s">
        <v>40</v>
      </c>
      <c r="J16" s="6"/>
      <c r="K16" s="7" t="s">
        <v>41</v>
      </c>
      <c r="L16" s="7" t="s">
        <v>42</v>
      </c>
      <c r="M16" s="6" t="s">
        <v>43</v>
      </c>
      <c r="N16" s="6"/>
      <c r="O16" s="5" t="str">
        <f>"340,0"</f>
        <v>340,0</v>
      </c>
      <c r="P16" s="7" t="str">
        <f>"232,6620"</f>
        <v>232,6620</v>
      </c>
      <c r="Q16" s="5" t="s">
        <v>44</v>
      </c>
    </row>
    <row r="18" spans="1:16" ht="15">
      <c r="A18" s="52" t="s">
        <v>205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7" ht="12.75">
      <c r="A19" s="5" t="s">
        <v>569</v>
      </c>
      <c r="B19" s="5" t="s">
        <v>570</v>
      </c>
      <c r="C19" s="5" t="s">
        <v>571</v>
      </c>
      <c r="D19" s="5" t="str">
        <f>"0,6069"</f>
        <v>0,6069</v>
      </c>
      <c r="E19" s="5" t="s">
        <v>217</v>
      </c>
      <c r="F19" s="5" t="s">
        <v>218</v>
      </c>
      <c r="G19" s="7" t="s">
        <v>25</v>
      </c>
      <c r="H19" s="7" t="s">
        <v>26</v>
      </c>
      <c r="I19" s="6" t="s">
        <v>146</v>
      </c>
      <c r="J19" s="6"/>
      <c r="K19" s="6" t="s">
        <v>54</v>
      </c>
      <c r="L19" s="7" t="s">
        <v>54</v>
      </c>
      <c r="M19" s="6" t="s">
        <v>413</v>
      </c>
      <c r="N19" s="6"/>
      <c r="O19" s="5" t="str">
        <f>"370,0"</f>
        <v>370,0</v>
      </c>
      <c r="P19" s="7" t="str">
        <f>"224,5530"</f>
        <v>224,5530</v>
      </c>
      <c r="Q19" s="5" t="s">
        <v>44</v>
      </c>
    </row>
    <row r="21" spans="5:6" ht="15">
      <c r="E21" s="16" t="s">
        <v>79</v>
      </c>
      <c r="F21" s="16" t="s">
        <v>798</v>
      </c>
    </row>
    <row r="22" spans="5:6" ht="15">
      <c r="E22" s="16" t="s">
        <v>80</v>
      </c>
      <c r="F22" s="16" t="s">
        <v>799</v>
      </c>
    </row>
    <row r="23" spans="5:6" ht="15">
      <c r="E23" s="16" t="s">
        <v>81</v>
      </c>
      <c r="F23" s="16" t="s">
        <v>800</v>
      </c>
    </row>
    <row r="24" spans="5:6" ht="15">
      <c r="E24" s="16" t="s">
        <v>82</v>
      </c>
      <c r="F24" s="16" t="s">
        <v>801</v>
      </c>
    </row>
    <row r="25" spans="5:6" ht="15">
      <c r="E25" s="16" t="s">
        <v>82</v>
      </c>
      <c r="F25" s="16" t="s">
        <v>807</v>
      </c>
    </row>
    <row r="27" ht="15">
      <c r="E27" s="16"/>
    </row>
  </sheetData>
  <sheetProtection/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8:P18"/>
    <mergeCell ref="O3:O4"/>
    <mergeCell ref="P3:P4"/>
    <mergeCell ref="Q3:Q4"/>
    <mergeCell ref="A5:P5"/>
    <mergeCell ref="A10:P10"/>
    <mergeCell ref="A15:P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2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5" width="7.75390625" style="4" bestFit="1" customWidth="1"/>
    <col min="16" max="16" width="8.625" style="3" bestFit="1" customWidth="1"/>
    <col min="17" max="17" width="16.125" style="4" bestFit="1" customWidth="1"/>
    <col min="18" max="16384" width="9.125" style="3" customWidth="1"/>
  </cols>
  <sheetData>
    <row r="1" spans="1:17" s="2" customFormat="1" ht="28.5" customHeight="1">
      <c r="A1" s="60" t="s">
        <v>815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12</v>
      </c>
      <c r="L3" s="54"/>
      <c r="M3" s="54"/>
      <c r="N3" s="54"/>
      <c r="O3" s="54" t="s">
        <v>1</v>
      </c>
      <c r="P3" s="54" t="s">
        <v>3</v>
      </c>
      <c r="Q3" s="56" t="s">
        <v>2</v>
      </c>
    </row>
    <row r="4" spans="1:17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34">
        <v>1</v>
      </c>
      <c r="L4" s="34">
        <v>2</v>
      </c>
      <c r="M4" s="34">
        <v>3</v>
      </c>
      <c r="N4" s="34" t="s">
        <v>5</v>
      </c>
      <c r="O4" s="55"/>
      <c r="P4" s="55"/>
      <c r="Q4" s="57"/>
    </row>
    <row r="5" spans="1:16" ht="15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12.75">
      <c r="A6" s="5" t="s">
        <v>555</v>
      </c>
      <c r="B6" s="5" t="s">
        <v>572</v>
      </c>
      <c r="C6" s="5" t="s">
        <v>557</v>
      </c>
      <c r="D6" s="5" t="str">
        <f>"0,6209"</f>
        <v>0,6209</v>
      </c>
      <c r="E6" s="5" t="s">
        <v>33</v>
      </c>
      <c r="F6" s="5" t="s">
        <v>49</v>
      </c>
      <c r="G6" s="7" t="s">
        <v>51</v>
      </c>
      <c r="H6" s="7" t="s">
        <v>20</v>
      </c>
      <c r="I6" s="7" t="s">
        <v>158</v>
      </c>
      <c r="J6" s="6"/>
      <c r="K6" s="7" t="s">
        <v>41</v>
      </c>
      <c r="L6" s="7" t="s">
        <v>427</v>
      </c>
      <c r="M6" s="6" t="s">
        <v>558</v>
      </c>
      <c r="N6" s="6"/>
      <c r="O6" s="5" t="str">
        <f>"345,0"</f>
        <v>345,0</v>
      </c>
      <c r="P6" s="7" t="str">
        <f>"257,9094"</f>
        <v>257,9094</v>
      </c>
      <c r="Q6" s="5" t="s">
        <v>44</v>
      </c>
    </row>
    <row r="8" spans="5:6" ht="15">
      <c r="E8" s="16" t="s">
        <v>79</v>
      </c>
      <c r="F8" s="16" t="s">
        <v>798</v>
      </c>
    </row>
    <row r="9" spans="5:6" ht="15">
      <c r="E9" s="16" t="s">
        <v>80</v>
      </c>
      <c r="F9" s="16" t="s">
        <v>799</v>
      </c>
    </row>
    <row r="10" spans="5:6" ht="15">
      <c r="E10" s="16" t="s">
        <v>81</v>
      </c>
      <c r="F10" s="16" t="s">
        <v>800</v>
      </c>
    </row>
    <row r="11" spans="5:6" ht="15">
      <c r="E11" s="16" t="s">
        <v>82</v>
      </c>
      <c r="F11" s="16" t="s">
        <v>801</v>
      </c>
    </row>
    <row r="12" spans="5:6" ht="15">
      <c r="E12" s="16" t="s">
        <v>82</v>
      </c>
      <c r="F12" s="16" t="s">
        <v>807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4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12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451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8" t="s">
        <v>453</v>
      </c>
      <c r="B6" s="8" t="s">
        <v>454</v>
      </c>
      <c r="C6" s="8" t="s">
        <v>455</v>
      </c>
      <c r="D6" s="8" t="str">
        <f>"1,0361"</f>
        <v>1,0361</v>
      </c>
      <c r="E6" s="8" t="s">
        <v>267</v>
      </c>
      <c r="F6" s="8" t="s">
        <v>268</v>
      </c>
      <c r="G6" s="10" t="s">
        <v>102</v>
      </c>
      <c r="H6" s="9" t="s">
        <v>103</v>
      </c>
      <c r="I6" s="9" t="s">
        <v>117</v>
      </c>
      <c r="J6" s="10"/>
      <c r="K6" s="8" t="str">
        <f>"110,0"</f>
        <v>110,0</v>
      </c>
      <c r="L6" s="9" t="str">
        <f>"113,9765"</f>
        <v>113,9765</v>
      </c>
      <c r="M6" s="8" t="s">
        <v>269</v>
      </c>
    </row>
    <row r="7" spans="1:13" ht="12.75">
      <c r="A7" s="14" t="s">
        <v>457</v>
      </c>
      <c r="B7" s="14" t="s">
        <v>458</v>
      </c>
      <c r="C7" s="14" t="s">
        <v>459</v>
      </c>
      <c r="D7" s="14" t="str">
        <f>"1,0611"</f>
        <v>1,0611</v>
      </c>
      <c r="E7" s="14" t="s">
        <v>267</v>
      </c>
      <c r="F7" s="14" t="s">
        <v>268</v>
      </c>
      <c r="G7" s="17" t="s">
        <v>101</v>
      </c>
      <c r="H7" s="15" t="s">
        <v>102</v>
      </c>
      <c r="I7" s="15" t="s">
        <v>117</v>
      </c>
      <c r="J7" s="15"/>
      <c r="K7" s="14" t="str">
        <f>"90,0"</f>
        <v>90,0</v>
      </c>
      <c r="L7" s="17" t="str">
        <f>"95,5035"</f>
        <v>95,5035</v>
      </c>
      <c r="M7" s="14" t="s">
        <v>269</v>
      </c>
    </row>
    <row r="9" spans="1:12" ht="15">
      <c r="A9" s="52" t="s">
        <v>96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 ht="12.75">
      <c r="A10" s="8" t="s">
        <v>98</v>
      </c>
      <c r="B10" s="8" t="s">
        <v>99</v>
      </c>
      <c r="C10" s="8" t="s">
        <v>100</v>
      </c>
      <c r="D10" s="8" t="str">
        <f>"0,9786"</f>
        <v>0,9786</v>
      </c>
      <c r="E10" s="8" t="s">
        <v>18</v>
      </c>
      <c r="F10" s="8" t="s">
        <v>19</v>
      </c>
      <c r="G10" s="9" t="s">
        <v>40</v>
      </c>
      <c r="H10" s="9" t="s">
        <v>20</v>
      </c>
      <c r="I10" s="10" t="s">
        <v>106</v>
      </c>
      <c r="J10" s="10"/>
      <c r="K10" s="8" t="str">
        <f>"125,0"</f>
        <v>125,0</v>
      </c>
      <c r="L10" s="9" t="str">
        <f>"122,3188"</f>
        <v>122,3188</v>
      </c>
      <c r="M10" s="8" t="s">
        <v>27</v>
      </c>
    </row>
    <row r="11" spans="1:13" ht="12.75">
      <c r="A11" s="11" t="s">
        <v>461</v>
      </c>
      <c r="B11" s="11" t="s">
        <v>462</v>
      </c>
      <c r="C11" s="11" t="s">
        <v>463</v>
      </c>
      <c r="D11" s="11" t="str">
        <f>"0,9693"</f>
        <v>0,9693</v>
      </c>
      <c r="E11" s="11" t="s">
        <v>72</v>
      </c>
      <c r="F11" s="11" t="s">
        <v>49</v>
      </c>
      <c r="G11" s="12" t="s">
        <v>367</v>
      </c>
      <c r="H11" s="13" t="s">
        <v>51</v>
      </c>
      <c r="I11" s="13"/>
      <c r="J11" s="13"/>
      <c r="K11" s="11" t="str">
        <f>"117,5"</f>
        <v>117,5</v>
      </c>
      <c r="L11" s="12" t="str">
        <f>"113,8986"</f>
        <v>113,8986</v>
      </c>
      <c r="M11" s="11" t="s">
        <v>44</v>
      </c>
    </row>
    <row r="12" spans="1:13" ht="12.75">
      <c r="A12" s="11" t="s">
        <v>464</v>
      </c>
      <c r="B12" s="11" t="s">
        <v>109</v>
      </c>
      <c r="C12" s="11" t="s">
        <v>110</v>
      </c>
      <c r="D12" s="11" t="str">
        <f>"0,9817"</f>
        <v>0,9817</v>
      </c>
      <c r="E12" s="11" t="s">
        <v>33</v>
      </c>
      <c r="F12" s="11" t="s">
        <v>49</v>
      </c>
      <c r="G12" s="12" t="s">
        <v>116</v>
      </c>
      <c r="H12" s="12" t="s">
        <v>38</v>
      </c>
      <c r="I12" s="12" t="s">
        <v>117</v>
      </c>
      <c r="J12" s="13"/>
      <c r="K12" s="11" t="str">
        <f>"110,0"</f>
        <v>110,0</v>
      </c>
      <c r="L12" s="12" t="str">
        <f>"107,9870"</f>
        <v>107,9870</v>
      </c>
      <c r="M12" s="11" t="s">
        <v>118</v>
      </c>
    </row>
    <row r="13" spans="1:13" ht="12.75">
      <c r="A13" s="14" t="s">
        <v>465</v>
      </c>
      <c r="B13" s="14" t="s">
        <v>121</v>
      </c>
      <c r="C13" s="14" t="s">
        <v>122</v>
      </c>
      <c r="D13" s="14" t="str">
        <f>"0,9833"</f>
        <v>0,9833</v>
      </c>
      <c r="E13" s="14" t="s">
        <v>123</v>
      </c>
      <c r="F13" s="14" t="s">
        <v>49</v>
      </c>
      <c r="G13" s="15" t="s">
        <v>124</v>
      </c>
      <c r="H13" s="15" t="s">
        <v>124</v>
      </c>
      <c r="I13" s="17" t="s">
        <v>124</v>
      </c>
      <c r="J13" s="15"/>
      <c r="K13" s="14" t="str">
        <f>"95,0"</f>
        <v>95,0</v>
      </c>
      <c r="L13" s="17" t="str">
        <f>"93,4088"</f>
        <v>93,4088</v>
      </c>
      <c r="M13" s="14" t="s">
        <v>118</v>
      </c>
    </row>
    <row r="15" spans="1:12" ht="15">
      <c r="A15" s="52" t="s">
        <v>13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12.75">
      <c r="A16" s="8" t="s">
        <v>130</v>
      </c>
      <c r="B16" s="8" t="s">
        <v>131</v>
      </c>
      <c r="C16" s="8" t="s">
        <v>132</v>
      </c>
      <c r="D16" s="8" t="str">
        <f>"0,9160"</f>
        <v>0,9160</v>
      </c>
      <c r="E16" s="8" t="s">
        <v>59</v>
      </c>
      <c r="F16" s="8" t="s">
        <v>49</v>
      </c>
      <c r="G16" s="9" t="s">
        <v>106</v>
      </c>
      <c r="H16" s="9" t="s">
        <v>136</v>
      </c>
      <c r="I16" s="9" t="s">
        <v>137</v>
      </c>
      <c r="J16" s="10"/>
      <c r="K16" s="8" t="str">
        <f>"142,5"</f>
        <v>142,5</v>
      </c>
      <c r="L16" s="9" t="str">
        <f>"130,5300"</f>
        <v>130,5300</v>
      </c>
      <c r="M16" s="8" t="s">
        <v>63</v>
      </c>
    </row>
    <row r="17" spans="1:13" ht="12.75">
      <c r="A17" s="11" t="s">
        <v>466</v>
      </c>
      <c r="B17" s="11" t="s">
        <v>16</v>
      </c>
      <c r="C17" s="11" t="s">
        <v>17</v>
      </c>
      <c r="D17" s="11" t="str">
        <f>"0,9215"</f>
        <v>0,9215</v>
      </c>
      <c r="E17" s="11" t="s">
        <v>18</v>
      </c>
      <c r="F17" s="11" t="s">
        <v>19</v>
      </c>
      <c r="G17" s="13" t="s">
        <v>25</v>
      </c>
      <c r="H17" s="12" t="s">
        <v>25</v>
      </c>
      <c r="I17" s="13" t="s">
        <v>26</v>
      </c>
      <c r="J17" s="13"/>
      <c r="K17" s="11" t="str">
        <f>"140,0"</f>
        <v>140,0</v>
      </c>
      <c r="L17" s="12" t="str">
        <f>"129,0100"</f>
        <v>129,0100</v>
      </c>
      <c r="M17" s="11" t="s">
        <v>27</v>
      </c>
    </row>
    <row r="18" spans="1:13" ht="12.75">
      <c r="A18" s="14" t="s">
        <v>467</v>
      </c>
      <c r="B18" s="14" t="s">
        <v>468</v>
      </c>
      <c r="C18" s="14" t="s">
        <v>469</v>
      </c>
      <c r="D18" s="14" t="str">
        <f>"0,9256"</f>
        <v>0,9256</v>
      </c>
      <c r="E18" s="14" t="s">
        <v>33</v>
      </c>
      <c r="F18" s="14" t="s">
        <v>470</v>
      </c>
      <c r="G18" s="15" t="s">
        <v>228</v>
      </c>
      <c r="H18" s="17" t="s">
        <v>228</v>
      </c>
      <c r="I18" s="15" t="s">
        <v>136</v>
      </c>
      <c r="J18" s="15"/>
      <c r="K18" s="14" t="str">
        <f>"132,5"</f>
        <v>132,5</v>
      </c>
      <c r="L18" s="17" t="str">
        <f>"124,8496"</f>
        <v>124,8496</v>
      </c>
      <c r="M18" s="14" t="s">
        <v>471</v>
      </c>
    </row>
    <row r="20" spans="1:12" ht="15">
      <c r="A20" s="52" t="s">
        <v>138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3" ht="12.75">
      <c r="A21" s="8" t="s">
        <v>140</v>
      </c>
      <c r="B21" s="8" t="s">
        <v>141</v>
      </c>
      <c r="C21" s="8" t="s">
        <v>142</v>
      </c>
      <c r="D21" s="8" t="str">
        <f>"0,8845"</f>
        <v>0,8845</v>
      </c>
      <c r="E21" s="8" t="s">
        <v>18</v>
      </c>
      <c r="F21" s="8" t="s">
        <v>19</v>
      </c>
      <c r="G21" s="9" t="s">
        <v>144</v>
      </c>
      <c r="H21" s="9" t="s">
        <v>145</v>
      </c>
      <c r="I21" s="9" t="s">
        <v>146</v>
      </c>
      <c r="J21" s="10"/>
      <c r="K21" s="8" t="str">
        <f>"160,0"</f>
        <v>160,0</v>
      </c>
      <c r="L21" s="9" t="str">
        <f>"141,5120"</f>
        <v>141,5120</v>
      </c>
      <c r="M21" s="8" t="s">
        <v>27</v>
      </c>
    </row>
    <row r="22" spans="1:13" ht="12.75">
      <c r="A22" s="11" t="s">
        <v>472</v>
      </c>
      <c r="B22" s="11" t="s">
        <v>473</v>
      </c>
      <c r="C22" s="11" t="s">
        <v>474</v>
      </c>
      <c r="D22" s="11" t="str">
        <f>"0,8682"</f>
        <v>0,8682</v>
      </c>
      <c r="E22" s="11" t="s">
        <v>475</v>
      </c>
      <c r="F22" s="11" t="s">
        <v>353</v>
      </c>
      <c r="G22" s="13" t="s">
        <v>117</v>
      </c>
      <c r="H22" s="13" t="s">
        <v>117</v>
      </c>
      <c r="I22" s="13" t="s">
        <v>117</v>
      </c>
      <c r="J22" s="13"/>
      <c r="K22" s="11" t="str">
        <f>"0.00"</f>
        <v>0.00</v>
      </c>
      <c r="L22" s="12" t="str">
        <f>"0,0000"</f>
        <v>0,0000</v>
      </c>
      <c r="M22" s="11" t="s">
        <v>476</v>
      </c>
    </row>
    <row r="23" spans="1:13" ht="12.75">
      <c r="A23" s="14" t="s">
        <v>276</v>
      </c>
      <c r="B23" s="14" t="s">
        <v>277</v>
      </c>
      <c r="C23" s="14" t="s">
        <v>278</v>
      </c>
      <c r="D23" s="14" t="str">
        <f>"0,8731"</f>
        <v>0,8731</v>
      </c>
      <c r="E23" s="14" t="s">
        <v>72</v>
      </c>
      <c r="F23" s="14" t="s">
        <v>49</v>
      </c>
      <c r="G23" s="17" t="s">
        <v>117</v>
      </c>
      <c r="H23" s="17" t="s">
        <v>40</v>
      </c>
      <c r="I23" s="17" t="s">
        <v>51</v>
      </c>
      <c r="J23" s="15"/>
      <c r="K23" s="14" t="str">
        <f>"120,0"</f>
        <v>120,0</v>
      </c>
      <c r="L23" s="17" t="str">
        <f>"126,1527"</f>
        <v>126,1527</v>
      </c>
      <c r="M23" s="14" t="s">
        <v>44</v>
      </c>
    </row>
    <row r="25" spans="1:12" ht="15">
      <c r="A25" s="52" t="s">
        <v>45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ht="12.75">
      <c r="A26" s="8" t="s">
        <v>478</v>
      </c>
      <c r="B26" s="8" t="s">
        <v>479</v>
      </c>
      <c r="C26" s="8" t="s">
        <v>331</v>
      </c>
      <c r="D26" s="8" t="str">
        <f>"0,6826"</f>
        <v>0,6826</v>
      </c>
      <c r="E26" s="8" t="s">
        <v>475</v>
      </c>
      <c r="F26" s="8" t="s">
        <v>353</v>
      </c>
      <c r="G26" s="9" t="s">
        <v>36</v>
      </c>
      <c r="H26" s="10" t="s">
        <v>37</v>
      </c>
      <c r="I26" s="10" t="s">
        <v>37</v>
      </c>
      <c r="J26" s="10"/>
      <c r="K26" s="8" t="str">
        <f>"195,0"</f>
        <v>195,0</v>
      </c>
      <c r="L26" s="9" t="str">
        <f>"133,1070"</f>
        <v>133,1070</v>
      </c>
      <c r="M26" s="8" t="s">
        <v>480</v>
      </c>
    </row>
    <row r="27" spans="1:13" ht="12.75">
      <c r="A27" s="14" t="s">
        <v>478</v>
      </c>
      <c r="B27" s="14" t="s">
        <v>481</v>
      </c>
      <c r="C27" s="14" t="s">
        <v>331</v>
      </c>
      <c r="D27" s="14" t="str">
        <f>"0,6826"</f>
        <v>0,6826</v>
      </c>
      <c r="E27" s="14" t="s">
        <v>475</v>
      </c>
      <c r="F27" s="14" t="s">
        <v>353</v>
      </c>
      <c r="G27" s="17" t="s">
        <v>36</v>
      </c>
      <c r="H27" s="15" t="s">
        <v>37</v>
      </c>
      <c r="I27" s="15" t="s">
        <v>37</v>
      </c>
      <c r="J27" s="15"/>
      <c r="K27" s="14" t="str">
        <f>"195,0"</f>
        <v>195,0</v>
      </c>
      <c r="L27" s="17" t="str">
        <f>"152,2744"</f>
        <v>152,2744</v>
      </c>
      <c r="M27" s="14" t="s">
        <v>480</v>
      </c>
    </row>
    <row r="29" spans="1:12" ht="15">
      <c r="A29" s="52" t="s">
        <v>96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ht="12.75">
      <c r="A30" s="5" t="s">
        <v>147</v>
      </c>
      <c r="B30" s="5" t="s">
        <v>148</v>
      </c>
      <c r="C30" s="5" t="s">
        <v>149</v>
      </c>
      <c r="D30" s="5" t="str">
        <f>"1,0659"</f>
        <v>1,0659</v>
      </c>
      <c r="E30" s="5" t="s">
        <v>18</v>
      </c>
      <c r="F30" s="5" t="s">
        <v>19</v>
      </c>
      <c r="G30" s="7" t="s">
        <v>102</v>
      </c>
      <c r="H30" s="6" t="s">
        <v>117</v>
      </c>
      <c r="I30" s="6" t="s">
        <v>117</v>
      </c>
      <c r="J30" s="6"/>
      <c r="K30" s="5" t="str">
        <f>"100,0"</f>
        <v>100,0</v>
      </c>
      <c r="L30" s="7" t="str">
        <f>"131,1057"</f>
        <v>131,1057</v>
      </c>
      <c r="M30" s="5" t="s">
        <v>27</v>
      </c>
    </row>
    <row r="32" spans="1:12" ht="15">
      <c r="A32" s="52" t="s">
        <v>152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3" ht="12.75">
      <c r="A33" s="5" t="s">
        <v>153</v>
      </c>
      <c r="B33" s="5" t="s">
        <v>154</v>
      </c>
      <c r="C33" s="5" t="s">
        <v>155</v>
      </c>
      <c r="D33" s="5" t="str">
        <f>"0,7993"</f>
        <v>0,7993</v>
      </c>
      <c r="E33" s="5" t="s">
        <v>156</v>
      </c>
      <c r="F33" s="5" t="s">
        <v>157</v>
      </c>
      <c r="G33" s="7" t="s">
        <v>146</v>
      </c>
      <c r="H33" s="6" t="s">
        <v>159</v>
      </c>
      <c r="I33" s="6"/>
      <c r="J33" s="6"/>
      <c r="K33" s="5" t="str">
        <f>"160,0"</f>
        <v>160,0</v>
      </c>
      <c r="L33" s="7" t="str">
        <f>"129,1669"</f>
        <v>129,1669</v>
      </c>
      <c r="M33" s="5" t="s">
        <v>160</v>
      </c>
    </row>
    <row r="35" spans="1:12" ht="15">
      <c r="A35" s="52" t="s">
        <v>28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3" ht="12.75">
      <c r="A36" s="8" t="s">
        <v>161</v>
      </c>
      <c r="B36" s="8" t="s">
        <v>162</v>
      </c>
      <c r="C36" s="8" t="s">
        <v>163</v>
      </c>
      <c r="D36" s="8" t="str">
        <f>"0,6741"</f>
        <v>0,6741</v>
      </c>
      <c r="E36" s="8" t="s">
        <v>156</v>
      </c>
      <c r="F36" s="8" t="s">
        <v>157</v>
      </c>
      <c r="G36" s="9" t="s">
        <v>37</v>
      </c>
      <c r="H36" s="9" t="s">
        <v>54</v>
      </c>
      <c r="I36" s="9" t="s">
        <v>165</v>
      </c>
      <c r="J36" s="10"/>
      <c r="K36" s="8" t="str">
        <f>"235,0"</f>
        <v>235,0</v>
      </c>
      <c r="L36" s="9" t="str">
        <f>"159,9976"</f>
        <v>159,9976</v>
      </c>
      <c r="M36" s="8" t="s">
        <v>160</v>
      </c>
    </row>
    <row r="37" spans="1:13" ht="12.75">
      <c r="A37" s="11" t="s">
        <v>30</v>
      </c>
      <c r="B37" s="11" t="s">
        <v>31</v>
      </c>
      <c r="C37" s="11" t="s">
        <v>32</v>
      </c>
      <c r="D37" s="11" t="str">
        <f>"0,6843"</f>
        <v>0,6843</v>
      </c>
      <c r="E37" s="11" t="s">
        <v>33</v>
      </c>
      <c r="F37" s="11" t="s">
        <v>34</v>
      </c>
      <c r="G37" s="12" t="s">
        <v>41</v>
      </c>
      <c r="H37" s="12" t="s">
        <v>42</v>
      </c>
      <c r="I37" s="13" t="s">
        <v>43</v>
      </c>
      <c r="J37" s="13"/>
      <c r="K37" s="11" t="str">
        <f>"227,5"</f>
        <v>227,5</v>
      </c>
      <c r="L37" s="12" t="str">
        <f>"155,6783"</f>
        <v>155,6783</v>
      </c>
      <c r="M37" s="11" t="s">
        <v>44</v>
      </c>
    </row>
    <row r="38" spans="1:13" ht="12.75">
      <c r="A38" s="11" t="s">
        <v>483</v>
      </c>
      <c r="B38" s="11" t="s">
        <v>484</v>
      </c>
      <c r="C38" s="11" t="s">
        <v>485</v>
      </c>
      <c r="D38" s="11" t="str">
        <f>"0,6669"</f>
        <v>0,6669</v>
      </c>
      <c r="E38" s="11" t="s">
        <v>217</v>
      </c>
      <c r="F38" s="11" t="s">
        <v>218</v>
      </c>
      <c r="G38" s="12" t="s">
        <v>35</v>
      </c>
      <c r="H38" s="12" t="s">
        <v>486</v>
      </c>
      <c r="I38" s="12" t="s">
        <v>41</v>
      </c>
      <c r="J38" s="13"/>
      <c r="K38" s="11" t="str">
        <f>"215,0"</f>
        <v>215,0</v>
      </c>
      <c r="L38" s="12" t="str">
        <f>"143,3942"</f>
        <v>143,3942</v>
      </c>
      <c r="M38" s="11" t="s">
        <v>487</v>
      </c>
    </row>
    <row r="39" spans="1:13" ht="12.75">
      <c r="A39" s="14" t="s">
        <v>488</v>
      </c>
      <c r="B39" s="14" t="s">
        <v>489</v>
      </c>
      <c r="C39" s="14" t="s">
        <v>490</v>
      </c>
      <c r="D39" s="14" t="str">
        <f>"0,7119"</f>
        <v>0,7119</v>
      </c>
      <c r="E39" s="14" t="s">
        <v>193</v>
      </c>
      <c r="F39" s="14" t="s">
        <v>491</v>
      </c>
      <c r="G39" s="17" t="s">
        <v>164</v>
      </c>
      <c r="H39" s="17" t="s">
        <v>170</v>
      </c>
      <c r="I39" s="17" t="s">
        <v>37</v>
      </c>
      <c r="J39" s="15"/>
      <c r="K39" s="14" t="str">
        <f>"200,0"</f>
        <v>200,0</v>
      </c>
      <c r="L39" s="17" t="str">
        <f>"249,8769"</f>
        <v>249,8769</v>
      </c>
      <c r="M39" s="14" t="s">
        <v>44</v>
      </c>
    </row>
    <row r="41" spans="1:12" ht="15">
      <c r="A41" s="52" t="s">
        <v>45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3" ht="12.75">
      <c r="A42" s="8" t="s">
        <v>492</v>
      </c>
      <c r="B42" s="8" t="s">
        <v>493</v>
      </c>
      <c r="C42" s="8" t="s">
        <v>494</v>
      </c>
      <c r="D42" s="8" t="str">
        <f>"0,6219"</f>
        <v>0,6219</v>
      </c>
      <c r="E42" s="8" t="s">
        <v>18</v>
      </c>
      <c r="F42" s="8" t="s">
        <v>19</v>
      </c>
      <c r="G42" s="9" t="s">
        <v>376</v>
      </c>
      <c r="H42" s="10" t="s">
        <v>336</v>
      </c>
      <c r="I42" s="10" t="s">
        <v>336</v>
      </c>
      <c r="J42" s="10"/>
      <c r="K42" s="8" t="str">
        <f>"167,5"</f>
        <v>167,5</v>
      </c>
      <c r="L42" s="9" t="str">
        <f>"112,5017"</f>
        <v>112,5017</v>
      </c>
      <c r="M42" s="8" t="s">
        <v>27</v>
      </c>
    </row>
    <row r="43" spans="1:13" ht="12.75">
      <c r="A43" s="11" t="s">
        <v>495</v>
      </c>
      <c r="B43" s="11" t="s">
        <v>496</v>
      </c>
      <c r="C43" s="11" t="s">
        <v>497</v>
      </c>
      <c r="D43" s="11" t="str">
        <f>"0,6388"</f>
        <v>0,6388</v>
      </c>
      <c r="E43" s="11" t="s">
        <v>33</v>
      </c>
      <c r="F43" s="11" t="s">
        <v>49</v>
      </c>
      <c r="G43" s="12" t="s">
        <v>146</v>
      </c>
      <c r="H43" s="12" t="s">
        <v>60</v>
      </c>
      <c r="I43" s="12" t="s">
        <v>170</v>
      </c>
      <c r="J43" s="13"/>
      <c r="K43" s="11" t="str">
        <f>"190,0"</f>
        <v>190,0</v>
      </c>
      <c r="L43" s="12" t="str">
        <f>"123,7994"</f>
        <v>123,7994</v>
      </c>
      <c r="M43" s="11" t="s">
        <v>44</v>
      </c>
    </row>
    <row r="44" spans="1:13" ht="12.75">
      <c r="A44" s="11" t="s">
        <v>498</v>
      </c>
      <c r="B44" s="11" t="s">
        <v>499</v>
      </c>
      <c r="C44" s="11" t="s">
        <v>500</v>
      </c>
      <c r="D44" s="11" t="str">
        <f>"0,6361"</f>
        <v>0,6361</v>
      </c>
      <c r="E44" s="11" t="s">
        <v>33</v>
      </c>
      <c r="F44" s="11" t="s">
        <v>49</v>
      </c>
      <c r="G44" s="12" t="s">
        <v>170</v>
      </c>
      <c r="H44" s="13" t="s">
        <v>37</v>
      </c>
      <c r="I44" s="13" t="s">
        <v>37</v>
      </c>
      <c r="J44" s="13"/>
      <c r="K44" s="11" t="str">
        <f>"190,0"</f>
        <v>190,0</v>
      </c>
      <c r="L44" s="12" t="str">
        <f>"124,4848"</f>
        <v>124,4848</v>
      </c>
      <c r="M44" s="11" t="s">
        <v>44</v>
      </c>
    </row>
    <row r="45" spans="1:13" ht="12.75">
      <c r="A45" s="11" t="s">
        <v>501</v>
      </c>
      <c r="B45" s="11" t="s">
        <v>66</v>
      </c>
      <c r="C45" s="11" t="s">
        <v>67</v>
      </c>
      <c r="D45" s="11" t="str">
        <f>"0,6301"</f>
        <v>0,6301</v>
      </c>
      <c r="E45" s="11" t="s">
        <v>59</v>
      </c>
      <c r="F45" s="11" t="s">
        <v>49</v>
      </c>
      <c r="G45" s="12" t="s">
        <v>60</v>
      </c>
      <c r="H45" s="12" t="s">
        <v>502</v>
      </c>
      <c r="I45" s="12" t="s">
        <v>62</v>
      </c>
      <c r="J45" s="13"/>
      <c r="K45" s="11" t="str">
        <f>"187,5"</f>
        <v>187,5</v>
      </c>
      <c r="L45" s="12" t="str">
        <f>"118,1438"</f>
        <v>118,1438</v>
      </c>
      <c r="M45" s="11" t="s">
        <v>63</v>
      </c>
    </row>
    <row r="46" spans="1:13" ht="12.75">
      <c r="A46" s="11" t="s">
        <v>56</v>
      </c>
      <c r="B46" s="11" t="s">
        <v>57</v>
      </c>
      <c r="C46" s="11" t="s">
        <v>58</v>
      </c>
      <c r="D46" s="11" t="str">
        <f>"0,6281"</f>
        <v>0,6281</v>
      </c>
      <c r="E46" s="11" t="s">
        <v>59</v>
      </c>
      <c r="F46" s="11" t="s">
        <v>49</v>
      </c>
      <c r="G46" s="12" t="s">
        <v>61</v>
      </c>
      <c r="H46" s="12" t="s">
        <v>62</v>
      </c>
      <c r="I46" s="13"/>
      <c r="J46" s="13"/>
      <c r="K46" s="11" t="str">
        <f>"187,5"</f>
        <v>187,5</v>
      </c>
      <c r="L46" s="12" t="str">
        <f>"117,7781"</f>
        <v>117,7781</v>
      </c>
      <c r="M46" s="11" t="s">
        <v>63</v>
      </c>
    </row>
    <row r="47" spans="1:13" ht="12.75">
      <c r="A47" s="11" t="s">
        <v>504</v>
      </c>
      <c r="B47" s="11" t="s">
        <v>505</v>
      </c>
      <c r="C47" s="11" t="s">
        <v>506</v>
      </c>
      <c r="D47" s="11" t="str">
        <f>"0,6276"</f>
        <v>0,6276</v>
      </c>
      <c r="E47" s="11" t="s">
        <v>188</v>
      </c>
      <c r="F47" s="11" t="s">
        <v>49</v>
      </c>
      <c r="G47" s="12" t="s">
        <v>164</v>
      </c>
      <c r="H47" s="12" t="s">
        <v>61</v>
      </c>
      <c r="I47" s="13" t="s">
        <v>62</v>
      </c>
      <c r="J47" s="13"/>
      <c r="K47" s="11" t="str">
        <f>"180,0"</f>
        <v>180,0</v>
      </c>
      <c r="L47" s="12" t="str">
        <f>"112,9680"</f>
        <v>112,9680</v>
      </c>
      <c r="M47" s="11" t="s">
        <v>189</v>
      </c>
    </row>
    <row r="48" spans="1:13" ht="12.75">
      <c r="A48" s="14" t="s">
        <v>508</v>
      </c>
      <c r="B48" s="14" t="s">
        <v>509</v>
      </c>
      <c r="C48" s="14" t="s">
        <v>500</v>
      </c>
      <c r="D48" s="14" t="str">
        <f>"0,6361"</f>
        <v>0,6361</v>
      </c>
      <c r="E48" s="14" t="s">
        <v>123</v>
      </c>
      <c r="F48" s="14" t="s">
        <v>49</v>
      </c>
      <c r="G48" s="17" t="s">
        <v>25</v>
      </c>
      <c r="H48" s="17" t="s">
        <v>164</v>
      </c>
      <c r="I48" s="17" t="s">
        <v>60</v>
      </c>
      <c r="J48" s="15"/>
      <c r="K48" s="14" t="str">
        <f>"175,0"</f>
        <v>175,0</v>
      </c>
      <c r="L48" s="17" t="str">
        <f>"111,3175"</f>
        <v>111,3175</v>
      </c>
      <c r="M48" s="14" t="s">
        <v>44</v>
      </c>
    </row>
    <row r="50" spans="1:12" ht="15">
      <c r="A50" s="52" t="s">
        <v>205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3" ht="12.75">
      <c r="A51" s="8" t="s">
        <v>510</v>
      </c>
      <c r="B51" s="8" t="s">
        <v>511</v>
      </c>
      <c r="C51" s="8" t="s">
        <v>512</v>
      </c>
      <c r="D51" s="8" t="str">
        <f>"0,5922"</f>
        <v>0,5922</v>
      </c>
      <c r="E51" s="8" t="s">
        <v>18</v>
      </c>
      <c r="F51" s="8" t="s">
        <v>19</v>
      </c>
      <c r="G51" s="9" t="s">
        <v>37</v>
      </c>
      <c r="H51" s="9" t="s">
        <v>41</v>
      </c>
      <c r="I51" s="10" t="s">
        <v>436</v>
      </c>
      <c r="J51" s="10"/>
      <c r="K51" s="8" t="str">
        <f>"215,0"</f>
        <v>215,0</v>
      </c>
      <c r="L51" s="9" t="str">
        <f>"132,4159"</f>
        <v>132,4159</v>
      </c>
      <c r="M51" s="8" t="s">
        <v>27</v>
      </c>
    </row>
    <row r="52" spans="1:13" ht="12.75">
      <c r="A52" s="11" t="s">
        <v>513</v>
      </c>
      <c r="B52" s="11" t="s">
        <v>514</v>
      </c>
      <c r="C52" s="11" t="s">
        <v>515</v>
      </c>
      <c r="D52" s="11" t="str">
        <f>"0,5901"</f>
        <v>0,5901</v>
      </c>
      <c r="E52" s="11" t="s">
        <v>33</v>
      </c>
      <c r="F52" s="11" t="s">
        <v>49</v>
      </c>
      <c r="G52" s="12" t="s">
        <v>436</v>
      </c>
      <c r="H52" s="12" t="s">
        <v>413</v>
      </c>
      <c r="I52" s="13" t="s">
        <v>165</v>
      </c>
      <c r="J52" s="13"/>
      <c r="K52" s="11" t="str">
        <f>"230,0"</f>
        <v>230,0</v>
      </c>
      <c r="L52" s="12" t="str">
        <f>"135,7230"</f>
        <v>135,7230</v>
      </c>
      <c r="M52" s="11" t="s">
        <v>44</v>
      </c>
    </row>
    <row r="53" spans="1:13" ht="12.75">
      <c r="A53" s="11" t="s">
        <v>517</v>
      </c>
      <c r="B53" s="11" t="s">
        <v>518</v>
      </c>
      <c r="C53" s="11" t="s">
        <v>213</v>
      </c>
      <c r="D53" s="11" t="str">
        <f>"0,5855"</f>
        <v>0,5855</v>
      </c>
      <c r="E53" s="11" t="s">
        <v>123</v>
      </c>
      <c r="F53" s="11" t="s">
        <v>49</v>
      </c>
      <c r="G53" s="12" t="s">
        <v>25</v>
      </c>
      <c r="H53" s="12" t="s">
        <v>145</v>
      </c>
      <c r="I53" s="12" t="s">
        <v>159</v>
      </c>
      <c r="J53" s="13"/>
      <c r="K53" s="11" t="str">
        <f>"165,0"</f>
        <v>165,0</v>
      </c>
      <c r="L53" s="12" t="str">
        <f>"96,6075"</f>
        <v>96,6075</v>
      </c>
      <c r="M53" s="11" t="s">
        <v>44</v>
      </c>
    </row>
    <row r="54" spans="1:13" ht="12.75">
      <c r="A54" s="14" t="s">
        <v>519</v>
      </c>
      <c r="B54" s="14" t="s">
        <v>520</v>
      </c>
      <c r="C54" s="14" t="s">
        <v>521</v>
      </c>
      <c r="D54" s="14" t="str">
        <f>"0,5879"</f>
        <v>0,5879</v>
      </c>
      <c r="E54" s="14" t="s">
        <v>156</v>
      </c>
      <c r="F54" s="14" t="s">
        <v>157</v>
      </c>
      <c r="G54" s="17" t="s">
        <v>61</v>
      </c>
      <c r="H54" s="17" t="s">
        <v>36</v>
      </c>
      <c r="I54" s="15" t="s">
        <v>436</v>
      </c>
      <c r="J54" s="15"/>
      <c r="K54" s="14" t="str">
        <f>"195,0"</f>
        <v>195,0</v>
      </c>
      <c r="L54" s="17" t="str">
        <f>"115,6723"</f>
        <v>115,6723</v>
      </c>
      <c r="M54" s="14" t="s">
        <v>44</v>
      </c>
    </row>
    <row r="56" spans="1:12" ht="15">
      <c r="A56" s="52" t="s">
        <v>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3" ht="12.75">
      <c r="A57" s="5" t="s">
        <v>523</v>
      </c>
      <c r="B57" s="5" t="s">
        <v>524</v>
      </c>
      <c r="C57" s="5" t="s">
        <v>525</v>
      </c>
      <c r="D57" s="5" t="str">
        <f>"0,5599"</f>
        <v>0,5599</v>
      </c>
      <c r="E57" s="5" t="s">
        <v>33</v>
      </c>
      <c r="F57" s="5" t="s">
        <v>49</v>
      </c>
      <c r="G57" s="7" t="s">
        <v>54</v>
      </c>
      <c r="H57" s="7" t="s">
        <v>413</v>
      </c>
      <c r="I57" s="6" t="s">
        <v>165</v>
      </c>
      <c r="J57" s="6"/>
      <c r="K57" s="5" t="str">
        <f>"230,0"</f>
        <v>230,0</v>
      </c>
      <c r="L57" s="7" t="str">
        <f>"128,7770"</f>
        <v>128,7770</v>
      </c>
      <c r="M57" s="5" t="s">
        <v>323</v>
      </c>
    </row>
    <row r="59" spans="1:12" ht="15">
      <c r="A59" s="52" t="s">
        <v>166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3" ht="12.75">
      <c r="A60" s="8" t="s">
        <v>527</v>
      </c>
      <c r="B60" s="8" t="s">
        <v>528</v>
      </c>
      <c r="C60" s="8" t="s">
        <v>529</v>
      </c>
      <c r="D60" s="8" t="str">
        <f>"0,5485"</f>
        <v>0,5485</v>
      </c>
      <c r="E60" s="8" t="s">
        <v>33</v>
      </c>
      <c r="F60" s="8" t="s">
        <v>530</v>
      </c>
      <c r="G60" s="9" t="s">
        <v>37</v>
      </c>
      <c r="H60" s="9" t="s">
        <v>54</v>
      </c>
      <c r="I60" s="10" t="s">
        <v>413</v>
      </c>
      <c r="J60" s="10"/>
      <c r="K60" s="8" t="str">
        <f>"220,0"</f>
        <v>220,0</v>
      </c>
      <c r="L60" s="9" t="str">
        <f>"120,6700"</f>
        <v>120,6700</v>
      </c>
      <c r="M60" s="8" t="s">
        <v>44</v>
      </c>
    </row>
    <row r="61" spans="1:13" ht="12.75">
      <c r="A61" s="11" t="s">
        <v>531</v>
      </c>
      <c r="B61" s="11" t="s">
        <v>532</v>
      </c>
      <c r="C61" s="11" t="s">
        <v>533</v>
      </c>
      <c r="D61" s="11" t="str">
        <f>"0,5401"</f>
        <v>0,5401</v>
      </c>
      <c r="E61" s="11" t="s">
        <v>193</v>
      </c>
      <c r="F61" s="11" t="s">
        <v>194</v>
      </c>
      <c r="G61" s="12" t="s">
        <v>54</v>
      </c>
      <c r="H61" s="13" t="s">
        <v>413</v>
      </c>
      <c r="I61" s="13"/>
      <c r="J61" s="13"/>
      <c r="K61" s="11" t="str">
        <f>"220,0"</f>
        <v>220,0</v>
      </c>
      <c r="L61" s="12" t="str">
        <f>"135,9324"</f>
        <v>135,9324</v>
      </c>
      <c r="M61" s="11" t="s">
        <v>534</v>
      </c>
    </row>
    <row r="62" spans="1:13" ht="12.75">
      <c r="A62" s="14" t="s">
        <v>167</v>
      </c>
      <c r="B62" s="14" t="s">
        <v>168</v>
      </c>
      <c r="C62" s="14" t="s">
        <v>169</v>
      </c>
      <c r="D62" s="14" t="str">
        <f>"0,5455"</f>
        <v>0,5455</v>
      </c>
      <c r="E62" s="14" t="s">
        <v>18</v>
      </c>
      <c r="F62" s="14" t="s">
        <v>19</v>
      </c>
      <c r="G62" s="17" t="s">
        <v>170</v>
      </c>
      <c r="H62" s="17" t="s">
        <v>53</v>
      </c>
      <c r="I62" s="17" t="s">
        <v>41</v>
      </c>
      <c r="J62" s="15"/>
      <c r="K62" s="14" t="str">
        <f>"215,0"</f>
        <v>215,0</v>
      </c>
      <c r="L62" s="17" t="str">
        <f>"141,7945"</f>
        <v>141,7945</v>
      </c>
      <c r="M62" s="14" t="s">
        <v>27</v>
      </c>
    </row>
    <row r="64" spans="5:6" ht="15">
      <c r="E64" s="16" t="s">
        <v>79</v>
      </c>
      <c r="F64" s="16" t="s">
        <v>798</v>
      </c>
    </row>
    <row r="65" spans="5:6" ht="15">
      <c r="E65" s="16" t="s">
        <v>80</v>
      </c>
      <c r="F65" s="16" t="s">
        <v>799</v>
      </c>
    </row>
    <row r="66" spans="5:6" ht="15">
      <c r="E66" s="16" t="s">
        <v>81</v>
      </c>
      <c r="F66" s="16" t="s">
        <v>801</v>
      </c>
    </row>
    <row r="67" spans="5:6" ht="15">
      <c r="E67" s="16" t="s">
        <v>82</v>
      </c>
      <c r="F67" s="16" t="s">
        <v>798</v>
      </c>
    </row>
    <row r="68" spans="5:6" ht="15">
      <c r="E68" s="16" t="s">
        <v>82</v>
      </c>
      <c r="F68" s="16" t="s">
        <v>807</v>
      </c>
    </row>
    <row r="70" ht="15">
      <c r="E70" s="16"/>
    </row>
    <row r="72" spans="1:2" ht="18">
      <c r="A72" s="18" t="s">
        <v>83</v>
      </c>
      <c r="B72" s="18"/>
    </row>
    <row r="73" spans="1:2" ht="15">
      <c r="A73" s="19" t="s">
        <v>84</v>
      </c>
      <c r="B73" s="19"/>
    </row>
    <row r="74" spans="1:2" ht="14.25">
      <c r="A74" s="21"/>
      <c r="B74" s="22" t="s">
        <v>85</v>
      </c>
    </row>
    <row r="75" spans="1:5" ht="15">
      <c r="A75" s="23" t="s">
        <v>86</v>
      </c>
      <c r="B75" s="23" t="s">
        <v>87</v>
      </c>
      <c r="C75" s="23" t="s">
        <v>88</v>
      </c>
      <c r="D75" s="23" t="s">
        <v>89</v>
      </c>
      <c r="E75" s="23" t="s">
        <v>90</v>
      </c>
    </row>
    <row r="76" spans="1:5" ht="12.75">
      <c r="A76" s="20" t="s">
        <v>139</v>
      </c>
      <c r="B76" s="4" t="s">
        <v>85</v>
      </c>
      <c r="C76" s="4" t="s">
        <v>171</v>
      </c>
      <c r="D76" s="4" t="s">
        <v>146</v>
      </c>
      <c r="E76" s="24" t="s">
        <v>535</v>
      </c>
    </row>
    <row r="77" spans="1:5" ht="12.75">
      <c r="A77" s="20" t="s">
        <v>477</v>
      </c>
      <c r="B77" s="4" t="s">
        <v>85</v>
      </c>
      <c r="C77" s="4" t="s">
        <v>95</v>
      </c>
      <c r="D77" s="4" t="s">
        <v>36</v>
      </c>
      <c r="E77" s="24" t="s">
        <v>536</v>
      </c>
    </row>
    <row r="78" spans="1:5" ht="12.75">
      <c r="A78" s="20" t="s">
        <v>129</v>
      </c>
      <c r="B78" s="4" t="s">
        <v>85</v>
      </c>
      <c r="C78" s="4" t="s">
        <v>91</v>
      </c>
      <c r="D78" s="4" t="s">
        <v>137</v>
      </c>
      <c r="E78" s="24" t="s">
        <v>537</v>
      </c>
    </row>
    <row r="79" spans="1:5" ht="12.75">
      <c r="A79" s="20" t="s">
        <v>14</v>
      </c>
      <c r="B79" s="4" t="s">
        <v>85</v>
      </c>
      <c r="C79" s="4" t="s">
        <v>91</v>
      </c>
      <c r="D79" s="4" t="s">
        <v>25</v>
      </c>
      <c r="E79" s="24" t="s">
        <v>538</v>
      </c>
    </row>
    <row r="80" spans="1:5" ht="12.75">
      <c r="A80" s="20" t="s">
        <v>97</v>
      </c>
      <c r="B80" s="4" t="s">
        <v>85</v>
      </c>
      <c r="C80" s="4" t="s">
        <v>172</v>
      </c>
      <c r="D80" s="4" t="s">
        <v>20</v>
      </c>
      <c r="E80" s="24" t="s">
        <v>539</v>
      </c>
    </row>
    <row r="81" spans="1:5" ht="12.75">
      <c r="A81" s="20" t="s">
        <v>452</v>
      </c>
      <c r="B81" s="4" t="s">
        <v>85</v>
      </c>
      <c r="C81" s="4" t="s">
        <v>540</v>
      </c>
      <c r="D81" s="4" t="s">
        <v>117</v>
      </c>
      <c r="E81" s="24" t="s">
        <v>541</v>
      </c>
    </row>
    <row r="82" spans="1:5" ht="12.75">
      <c r="A82" s="20" t="s">
        <v>460</v>
      </c>
      <c r="B82" s="4" t="s">
        <v>85</v>
      </c>
      <c r="C82" s="4" t="s">
        <v>172</v>
      </c>
      <c r="D82" s="4" t="s">
        <v>367</v>
      </c>
      <c r="E82" s="24" t="s">
        <v>542</v>
      </c>
    </row>
    <row r="83" spans="1:5" ht="12.75">
      <c r="A83" s="20" t="s">
        <v>107</v>
      </c>
      <c r="B83" s="4" t="s">
        <v>85</v>
      </c>
      <c r="C83" s="4" t="s">
        <v>172</v>
      </c>
      <c r="D83" s="4" t="s">
        <v>117</v>
      </c>
      <c r="E83" s="24" t="s">
        <v>543</v>
      </c>
    </row>
    <row r="84" spans="1:5" ht="12.75">
      <c r="A84" s="20" t="s">
        <v>456</v>
      </c>
      <c r="B84" s="4" t="s">
        <v>85</v>
      </c>
      <c r="C84" s="4" t="s">
        <v>540</v>
      </c>
      <c r="D84" s="4" t="s">
        <v>101</v>
      </c>
      <c r="E84" s="24" t="s">
        <v>544</v>
      </c>
    </row>
    <row r="85" spans="1:5" ht="12.75">
      <c r="A85" s="20" t="s">
        <v>119</v>
      </c>
      <c r="B85" s="4" t="s">
        <v>85</v>
      </c>
      <c r="C85" s="4" t="s">
        <v>172</v>
      </c>
      <c r="D85" s="4" t="s">
        <v>124</v>
      </c>
      <c r="E85" s="24" t="s">
        <v>545</v>
      </c>
    </row>
    <row r="88" spans="1:2" ht="15">
      <c r="A88" s="19" t="s">
        <v>92</v>
      </c>
      <c r="B88" s="19"/>
    </row>
    <row r="89" spans="1:2" ht="14.25">
      <c r="A89" s="21"/>
      <c r="B89" s="22" t="s">
        <v>85</v>
      </c>
    </row>
    <row r="90" spans="1:5" ht="15">
      <c r="A90" s="23" t="s">
        <v>86</v>
      </c>
      <c r="B90" s="23" t="s">
        <v>87</v>
      </c>
      <c r="C90" s="23" t="s">
        <v>88</v>
      </c>
      <c r="D90" s="23" t="s">
        <v>89</v>
      </c>
      <c r="E90" s="23" t="s">
        <v>90</v>
      </c>
    </row>
    <row r="91" spans="1:5" ht="12.75">
      <c r="A91" s="20" t="s">
        <v>29</v>
      </c>
      <c r="B91" s="4" t="s">
        <v>85</v>
      </c>
      <c r="C91" s="4" t="s">
        <v>93</v>
      </c>
      <c r="D91" s="4" t="s">
        <v>42</v>
      </c>
      <c r="E91" s="24" t="s">
        <v>546</v>
      </c>
    </row>
    <row r="92" spans="1:5" ht="12.75">
      <c r="A92" s="20" t="s">
        <v>482</v>
      </c>
      <c r="B92" s="4" t="s">
        <v>85</v>
      </c>
      <c r="C92" s="4" t="s">
        <v>93</v>
      </c>
      <c r="D92" s="4" t="s">
        <v>41</v>
      </c>
      <c r="E92" s="24" t="s">
        <v>547</v>
      </c>
    </row>
    <row r="93" spans="1:5" ht="12.75">
      <c r="A93" s="20" t="s">
        <v>522</v>
      </c>
      <c r="B93" s="4" t="s">
        <v>85</v>
      </c>
      <c r="C93" s="4" t="s">
        <v>94</v>
      </c>
      <c r="D93" s="4" t="s">
        <v>413</v>
      </c>
      <c r="E93" s="24" t="s">
        <v>548</v>
      </c>
    </row>
    <row r="94" spans="1:5" ht="12.75">
      <c r="A94" s="20" t="s">
        <v>526</v>
      </c>
      <c r="B94" s="4" t="s">
        <v>85</v>
      </c>
      <c r="C94" s="4" t="s">
        <v>174</v>
      </c>
      <c r="D94" s="4" t="s">
        <v>54</v>
      </c>
      <c r="E94" s="24" t="s">
        <v>549</v>
      </c>
    </row>
    <row r="95" spans="1:5" ht="12.75">
      <c r="A95" s="20" t="s">
        <v>64</v>
      </c>
      <c r="B95" s="4" t="s">
        <v>85</v>
      </c>
      <c r="C95" s="4" t="s">
        <v>95</v>
      </c>
      <c r="D95" s="4" t="s">
        <v>62</v>
      </c>
      <c r="E95" s="24" t="s">
        <v>550</v>
      </c>
    </row>
    <row r="96" spans="1:5" ht="12.75">
      <c r="A96" s="20" t="s">
        <v>55</v>
      </c>
      <c r="B96" s="4" t="s">
        <v>85</v>
      </c>
      <c r="C96" s="4" t="s">
        <v>95</v>
      </c>
      <c r="D96" s="4" t="s">
        <v>62</v>
      </c>
      <c r="E96" s="24" t="s">
        <v>551</v>
      </c>
    </row>
    <row r="97" spans="1:5" ht="12.75">
      <c r="A97" s="20" t="s">
        <v>503</v>
      </c>
      <c r="B97" s="4" t="s">
        <v>85</v>
      </c>
      <c r="C97" s="4" t="s">
        <v>95</v>
      </c>
      <c r="D97" s="4" t="s">
        <v>61</v>
      </c>
      <c r="E97" s="24" t="s">
        <v>552</v>
      </c>
    </row>
    <row r="98" spans="1:5" ht="12.75">
      <c r="A98" s="20" t="s">
        <v>507</v>
      </c>
      <c r="B98" s="4" t="s">
        <v>85</v>
      </c>
      <c r="C98" s="4" t="s">
        <v>95</v>
      </c>
      <c r="D98" s="4" t="s">
        <v>60</v>
      </c>
      <c r="E98" s="24" t="s">
        <v>553</v>
      </c>
    </row>
    <row r="99" spans="1:5" ht="12.75">
      <c r="A99" s="20" t="s">
        <v>516</v>
      </c>
      <c r="B99" s="4" t="s">
        <v>85</v>
      </c>
      <c r="C99" s="4" t="s">
        <v>254</v>
      </c>
      <c r="D99" s="4" t="s">
        <v>159</v>
      </c>
      <c r="E99" s="24" t="s">
        <v>554</v>
      </c>
    </row>
  </sheetData>
  <sheetProtection/>
  <mergeCells count="23">
    <mergeCell ref="A15:L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50:L50"/>
    <mergeCell ref="A56:L56"/>
    <mergeCell ref="A59:L59"/>
    <mergeCell ref="A20:L20"/>
    <mergeCell ref="A25:L25"/>
    <mergeCell ref="A29:L29"/>
    <mergeCell ref="A32:L32"/>
    <mergeCell ref="A35:L35"/>
    <mergeCell ref="A41:L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12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555</v>
      </c>
      <c r="B6" s="5" t="s">
        <v>556</v>
      </c>
      <c r="C6" s="5" t="s">
        <v>557</v>
      </c>
      <c r="D6" s="5" t="str">
        <f>"0,6209"</f>
        <v>0,6209</v>
      </c>
      <c r="E6" s="5" t="s">
        <v>33</v>
      </c>
      <c r="F6" s="5" t="s">
        <v>49</v>
      </c>
      <c r="G6" s="7" t="s">
        <v>41</v>
      </c>
      <c r="H6" s="7" t="s">
        <v>427</v>
      </c>
      <c r="I6" s="6" t="s">
        <v>558</v>
      </c>
      <c r="J6" s="6"/>
      <c r="K6" s="5" t="str">
        <f>"217,5"</f>
        <v>217,5</v>
      </c>
      <c r="L6" s="7" t="str">
        <f>"135,0457"</f>
        <v>135,0457</v>
      </c>
      <c r="M6" s="5" t="s">
        <v>44</v>
      </c>
    </row>
    <row r="8" spans="1:12" ht="15">
      <c r="A8" s="52" t="s">
        <v>205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5" t="s">
        <v>559</v>
      </c>
      <c r="B9" s="5" t="s">
        <v>560</v>
      </c>
      <c r="C9" s="5" t="s">
        <v>561</v>
      </c>
      <c r="D9" s="5" t="str">
        <f>"0,5877"</f>
        <v>0,5877</v>
      </c>
      <c r="E9" s="5" t="s">
        <v>193</v>
      </c>
      <c r="F9" s="5" t="s">
        <v>194</v>
      </c>
      <c r="G9" s="7" t="s">
        <v>54</v>
      </c>
      <c r="H9" s="6" t="s">
        <v>413</v>
      </c>
      <c r="I9" s="7" t="s">
        <v>413</v>
      </c>
      <c r="J9" s="6"/>
      <c r="K9" s="5" t="str">
        <f>"230,0"</f>
        <v>230,0</v>
      </c>
      <c r="L9" s="7" t="str">
        <f>"135,1710"</f>
        <v>135,1710</v>
      </c>
      <c r="M9" s="5" t="s">
        <v>195</v>
      </c>
    </row>
    <row r="11" spans="5:6" ht="15">
      <c r="E11" s="16" t="s">
        <v>79</v>
      </c>
      <c r="F11" s="16" t="s">
        <v>798</v>
      </c>
    </row>
    <row r="12" spans="5:6" ht="15">
      <c r="E12" s="16" t="s">
        <v>80</v>
      </c>
      <c r="F12" s="16" t="s">
        <v>799</v>
      </c>
    </row>
    <row r="13" spans="5:6" ht="15">
      <c r="E13" s="16" t="s">
        <v>81</v>
      </c>
      <c r="F13" s="16" t="s">
        <v>801</v>
      </c>
    </row>
    <row r="14" spans="5:6" ht="15">
      <c r="E14" s="16" t="s">
        <v>82</v>
      </c>
      <c r="F14" s="16" t="s">
        <v>798</v>
      </c>
    </row>
    <row r="15" spans="5:6" ht="15">
      <c r="E15" s="16" t="s">
        <v>82</v>
      </c>
      <c r="F15" s="16" t="s">
        <v>807</v>
      </c>
    </row>
    <row r="17" ht="15">
      <c r="E17" s="16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N33" sqref="N33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60" t="s">
        <v>818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96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5" t="s">
        <v>264</v>
      </c>
      <c r="B6" s="5" t="s">
        <v>265</v>
      </c>
      <c r="C6" s="5" t="s">
        <v>266</v>
      </c>
      <c r="D6" s="5" t="str">
        <f>"0,9739"</f>
        <v>0,9739</v>
      </c>
      <c r="E6" s="5" t="s">
        <v>267</v>
      </c>
      <c r="F6" s="5" t="s">
        <v>268</v>
      </c>
      <c r="G6" s="7" t="s">
        <v>150</v>
      </c>
      <c r="H6" s="6" t="s">
        <v>151</v>
      </c>
      <c r="I6" s="6" t="s">
        <v>151</v>
      </c>
      <c r="J6" s="6"/>
      <c r="K6" s="5" t="str">
        <f>"40,0"</f>
        <v>40,0</v>
      </c>
      <c r="L6" s="7" t="str">
        <f>"38,9560"</f>
        <v>38,9560</v>
      </c>
      <c r="M6" s="5" t="s">
        <v>269</v>
      </c>
    </row>
    <row r="8" spans="1:12" ht="15">
      <c r="A8" s="52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5" t="s">
        <v>270</v>
      </c>
      <c r="B9" s="5" t="s">
        <v>271</v>
      </c>
      <c r="C9" s="5" t="s">
        <v>272</v>
      </c>
      <c r="D9" s="5" t="str">
        <f>"0,9543"</f>
        <v>0,9543</v>
      </c>
      <c r="E9" s="5" t="s">
        <v>156</v>
      </c>
      <c r="F9" s="5" t="s">
        <v>157</v>
      </c>
      <c r="G9" s="7" t="s">
        <v>273</v>
      </c>
      <c r="H9" s="7" t="s">
        <v>274</v>
      </c>
      <c r="I9" s="6" t="s">
        <v>275</v>
      </c>
      <c r="J9" s="6"/>
      <c r="K9" s="5" t="str">
        <f>"35,0"</f>
        <v>35,0</v>
      </c>
      <c r="L9" s="7" t="str">
        <f>"41,0826"</f>
        <v>41,0826</v>
      </c>
      <c r="M9" s="5" t="s">
        <v>160</v>
      </c>
    </row>
    <row r="11" spans="1:12" ht="15">
      <c r="A11" s="52" t="s">
        <v>138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5" t="s">
        <v>276</v>
      </c>
      <c r="B12" s="5" t="s">
        <v>277</v>
      </c>
      <c r="C12" s="5" t="s">
        <v>278</v>
      </c>
      <c r="D12" s="5" t="str">
        <f>"0,8731"</f>
        <v>0,8731</v>
      </c>
      <c r="E12" s="5" t="s">
        <v>72</v>
      </c>
      <c r="F12" s="5" t="s">
        <v>49</v>
      </c>
      <c r="G12" s="6" t="s">
        <v>134</v>
      </c>
      <c r="H12" s="6" t="s">
        <v>134</v>
      </c>
      <c r="I12" s="7" t="s">
        <v>134</v>
      </c>
      <c r="J12" s="6"/>
      <c r="K12" s="5" t="str">
        <f>"55,0"</f>
        <v>55,0</v>
      </c>
      <c r="L12" s="7" t="str">
        <f>"57,8200"</f>
        <v>57,8200</v>
      </c>
      <c r="M12" s="5" t="s">
        <v>44</v>
      </c>
    </row>
    <row r="14" spans="1:12" ht="15">
      <c r="A14" s="52" t="s">
        <v>45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5" t="s">
        <v>175</v>
      </c>
      <c r="B15" s="5" t="s">
        <v>176</v>
      </c>
      <c r="C15" s="5" t="s">
        <v>177</v>
      </c>
      <c r="D15" s="5" t="str">
        <f>"0,6789"</f>
        <v>0,6789</v>
      </c>
      <c r="E15" s="5" t="s">
        <v>33</v>
      </c>
      <c r="F15" s="5" t="s">
        <v>49</v>
      </c>
      <c r="G15" s="7" t="s">
        <v>24</v>
      </c>
      <c r="H15" s="7" t="s">
        <v>279</v>
      </c>
      <c r="I15" s="6"/>
      <c r="J15" s="6"/>
      <c r="K15" s="5" t="str">
        <f>"80,0"</f>
        <v>80,0</v>
      </c>
      <c r="L15" s="7" t="str">
        <f>"54,3120"</f>
        <v>54,3120</v>
      </c>
      <c r="M15" s="5" t="s">
        <v>178</v>
      </c>
    </row>
    <row r="17" spans="1:12" ht="15">
      <c r="A17" s="52" t="s">
        <v>96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 ht="12.75">
      <c r="A18" s="8" t="s">
        <v>280</v>
      </c>
      <c r="B18" s="8" t="s">
        <v>281</v>
      </c>
      <c r="C18" s="8" t="s">
        <v>282</v>
      </c>
      <c r="D18" s="8" t="str">
        <f>"1,1841"</f>
        <v>1,1841</v>
      </c>
      <c r="E18" s="8" t="s">
        <v>193</v>
      </c>
      <c r="F18" s="8" t="s">
        <v>194</v>
      </c>
      <c r="G18" s="9" t="s">
        <v>283</v>
      </c>
      <c r="H18" s="9" t="s">
        <v>284</v>
      </c>
      <c r="I18" s="9" t="s">
        <v>285</v>
      </c>
      <c r="J18" s="10"/>
      <c r="K18" s="8" t="str">
        <f>"27,5"</f>
        <v>27,5</v>
      </c>
      <c r="L18" s="9" t="str">
        <f>"40,0522"</f>
        <v>40,0522</v>
      </c>
      <c r="M18" s="8" t="s">
        <v>195</v>
      </c>
    </row>
    <row r="19" spans="1:13" ht="12.75">
      <c r="A19" s="14" t="s">
        <v>286</v>
      </c>
      <c r="B19" s="14" t="s">
        <v>287</v>
      </c>
      <c r="C19" s="14" t="s">
        <v>288</v>
      </c>
      <c r="D19" s="14" t="str">
        <f>"0,9734"</f>
        <v>0,9734</v>
      </c>
      <c r="E19" s="14" t="s">
        <v>193</v>
      </c>
      <c r="F19" s="14" t="s">
        <v>194</v>
      </c>
      <c r="G19" s="17" t="s">
        <v>114</v>
      </c>
      <c r="H19" s="17" t="s">
        <v>151</v>
      </c>
      <c r="I19" s="17" t="s">
        <v>289</v>
      </c>
      <c r="J19" s="15"/>
      <c r="K19" s="14" t="str">
        <f>"52,5"</f>
        <v>52,5</v>
      </c>
      <c r="L19" s="17" t="str">
        <f>"60,3021"</f>
        <v>60,3021</v>
      </c>
      <c r="M19" s="14" t="s">
        <v>195</v>
      </c>
    </row>
    <row r="21" spans="1:12" ht="15">
      <c r="A21" s="52" t="s">
        <v>152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ht="12.75">
      <c r="A22" s="8" t="s">
        <v>290</v>
      </c>
      <c r="B22" s="8" t="s">
        <v>291</v>
      </c>
      <c r="C22" s="8" t="s">
        <v>292</v>
      </c>
      <c r="D22" s="8" t="str">
        <f>"0,7357"</f>
        <v>0,7357</v>
      </c>
      <c r="E22" s="8" t="s">
        <v>33</v>
      </c>
      <c r="F22" s="8" t="s">
        <v>223</v>
      </c>
      <c r="G22" s="9" t="s">
        <v>151</v>
      </c>
      <c r="H22" s="9" t="s">
        <v>134</v>
      </c>
      <c r="I22" s="10" t="s">
        <v>143</v>
      </c>
      <c r="J22" s="10"/>
      <c r="K22" s="8" t="str">
        <f>"55,0"</f>
        <v>55,0</v>
      </c>
      <c r="L22" s="9" t="str">
        <f>"49,7701"</f>
        <v>49,7701</v>
      </c>
      <c r="M22" s="8" t="s">
        <v>293</v>
      </c>
    </row>
    <row r="23" spans="1:13" ht="12.75">
      <c r="A23" s="14" t="s">
        <v>294</v>
      </c>
      <c r="B23" s="14" t="s">
        <v>295</v>
      </c>
      <c r="C23" s="14" t="s">
        <v>296</v>
      </c>
      <c r="D23" s="14" t="str">
        <f>"0,7607"</f>
        <v>0,7607</v>
      </c>
      <c r="E23" s="14" t="s">
        <v>297</v>
      </c>
      <c r="F23" s="14" t="s">
        <v>49</v>
      </c>
      <c r="G23" s="17" t="s">
        <v>111</v>
      </c>
      <c r="H23" s="17" t="s">
        <v>279</v>
      </c>
      <c r="I23" s="15" t="s">
        <v>128</v>
      </c>
      <c r="J23" s="15"/>
      <c r="K23" s="14" t="str">
        <f>"80,0"</f>
        <v>80,0</v>
      </c>
      <c r="L23" s="17" t="str">
        <f>"71,8148"</f>
        <v>71,8148</v>
      </c>
      <c r="M23" s="14" t="s">
        <v>298</v>
      </c>
    </row>
    <row r="25" spans="1:12" ht="15">
      <c r="A25" s="52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ht="12.75">
      <c r="A26" s="8" t="s">
        <v>299</v>
      </c>
      <c r="B26" s="8" t="s">
        <v>300</v>
      </c>
      <c r="C26" s="8" t="s">
        <v>301</v>
      </c>
      <c r="D26" s="8" t="str">
        <f>"0,6797"</f>
        <v>0,6797</v>
      </c>
      <c r="E26" s="8" t="s">
        <v>193</v>
      </c>
      <c r="F26" s="8" t="s">
        <v>223</v>
      </c>
      <c r="G26" s="9" t="s">
        <v>40</v>
      </c>
      <c r="H26" s="10" t="s">
        <v>51</v>
      </c>
      <c r="I26" s="9" t="s">
        <v>51</v>
      </c>
      <c r="J26" s="10"/>
      <c r="K26" s="8" t="str">
        <f>"120,0"</f>
        <v>120,0</v>
      </c>
      <c r="L26" s="9" t="str">
        <f>"83,1953"</f>
        <v>83,1953</v>
      </c>
      <c r="M26" s="8" t="s">
        <v>302</v>
      </c>
    </row>
    <row r="27" spans="1:13" ht="12.75">
      <c r="A27" s="11" t="s">
        <v>304</v>
      </c>
      <c r="B27" s="11" t="s">
        <v>305</v>
      </c>
      <c r="C27" s="11" t="s">
        <v>306</v>
      </c>
      <c r="D27" s="11" t="str">
        <f>"0,6666"</f>
        <v>0,6666</v>
      </c>
      <c r="E27" s="11" t="s">
        <v>193</v>
      </c>
      <c r="F27" s="11" t="s">
        <v>194</v>
      </c>
      <c r="G27" s="13" t="s">
        <v>61</v>
      </c>
      <c r="H27" s="12" t="s">
        <v>61</v>
      </c>
      <c r="I27" s="12" t="s">
        <v>35</v>
      </c>
      <c r="J27" s="13"/>
      <c r="K27" s="11" t="str">
        <f>"185,0"</f>
        <v>185,0</v>
      </c>
      <c r="L27" s="12" t="str">
        <f>"123,3210"</f>
        <v>123,3210</v>
      </c>
      <c r="M27" s="11" t="s">
        <v>44</v>
      </c>
    </row>
    <row r="28" spans="1:13" ht="12.75">
      <c r="A28" s="11" t="s">
        <v>308</v>
      </c>
      <c r="B28" s="11" t="s">
        <v>309</v>
      </c>
      <c r="C28" s="11" t="s">
        <v>306</v>
      </c>
      <c r="D28" s="11" t="str">
        <f>"0,6666"</f>
        <v>0,6666</v>
      </c>
      <c r="E28" s="11" t="s">
        <v>72</v>
      </c>
      <c r="F28" s="11" t="s">
        <v>49</v>
      </c>
      <c r="G28" s="12" t="s">
        <v>106</v>
      </c>
      <c r="H28" s="13" t="s">
        <v>136</v>
      </c>
      <c r="I28" s="13" t="s">
        <v>136</v>
      </c>
      <c r="J28" s="13"/>
      <c r="K28" s="11" t="str">
        <f>"130,0"</f>
        <v>130,0</v>
      </c>
      <c r="L28" s="12" t="str">
        <f>"86,6580"</f>
        <v>86,6580</v>
      </c>
      <c r="M28" s="11" t="s">
        <v>44</v>
      </c>
    </row>
    <row r="29" spans="1:13" ht="12.75">
      <c r="A29" s="14" t="s">
        <v>311</v>
      </c>
      <c r="B29" s="14" t="s">
        <v>312</v>
      </c>
      <c r="C29" s="14" t="s">
        <v>313</v>
      </c>
      <c r="D29" s="14" t="str">
        <f>"0,6874"</f>
        <v>0,6874</v>
      </c>
      <c r="E29" s="14" t="s">
        <v>59</v>
      </c>
      <c r="F29" s="14" t="s">
        <v>49</v>
      </c>
      <c r="G29" s="15" t="s">
        <v>20</v>
      </c>
      <c r="H29" s="17" t="s">
        <v>20</v>
      </c>
      <c r="I29" s="15" t="s">
        <v>158</v>
      </c>
      <c r="J29" s="15"/>
      <c r="K29" s="14" t="str">
        <f>"125,0"</f>
        <v>125,0</v>
      </c>
      <c r="L29" s="17" t="str">
        <f>"85,9250"</f>
        <v>85,9250</v>
      </c>
      <c r="M29" s="14" t="s">
        <v>63</v>
      </c>
    </row>
    <row r="31" spans="1:12" ht="15">
      <c r="A31" s="52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 ht="12.75">
      <c r="A32" s="8" t="s">
        <v>314</v>
      </c>
      <c r="B32" s="8" t="s">
        <v>315</v>
      </c>
      <c r="C32" s="8" t="s">
        <v>316</v>
      </c>
      <c r="D32" s="8" t="str">
        <f>"0,6367"</f>
        <v>0,6367</v>
      </c>
      <c r="E32" s="8" t="s">
        <v>33</v>
      </c>
      <c r="F32" s="8" t="s">
        <v>317</v>
      </c>
      <c r="G32" s="9" t="s">
        <v>137</v>
      </c>
      <c r="H32" s="9" t="s">
        <v>245</v>
      </c>
      <c r="I32" s="10" t="s">
        <v>76</v>
      </c>
      <c r="J32" s="10"/>
      <c r="K32" s="8" t="str">
        <f>"147,5"</f>
        <v>147,5</v>
      </c>
      <c r="L32" s="9" t="str">
        <f>"93,9132"</f>
        <v>93,9132</v>
      </c>
      <c r="M32" s="8" t="s">
        <v>318</v>
      </c>
    </row>
    <row r="33" spans="1:13" ht="12.75">
      <c r="A33" s="11" t="s">
        <v>320</v>
      </c>
      <c r="B33" s="11" t="s">
        <v>321</v>
      </c>
      <c r="C33" s="11" t="s">
        <v>322</v>
      </c>
      <c r="D33" s="11" t="str">
        <f>"0,6347"</f>
        <v>0,6347</v>
      </c>
      <c r="E33" s="11" t="s">
        <v>72</v>
      </c>
      <c r="F33" s="11" t="s">
        <v>49</v>
      </c>
      <c r="G33" s="12" t="s">
        <v>164</v>
      </c>
      <c r="H33" s="13" t="s">
        <v>61</v>
      </c>
      <c r="I33" s="13" t="s">
        <v>61</v>
      </c>
      <c r="J33" s="13"/>
      <c r="K33" s="11" t="str">
        <f>"170,0"</f>
        <v>170,0</v>
      </c>
      <c r="L33" s="12" t="str">
        <f>"107,8990"</f>
        <v>107,8990</v>
      </c>
      <c r="M33" s="11" t="s">
        <v>78</v>
      </c>
    </row>
    <row r="34" spans="1:13" ht="12.75">
      <c r="A34" s="11" t="s">
        <v>325</v>
      </c>
      <c r="B34" s="11" t="s">
        <v>326</v>
      </c>
      <c r="C34" s="11" t="s">
        <v>327</v>
      </c>
      <c r="D34" s="11" t="str">
        <f>"0,6224"</f>
        <v>0,6224</v>
      </c>
      <c r="E34" s="11" t="s">
        <v>33</v>
      </c>
      <c r="F34" s="11" t="s">
        <v>328</v>
      </c>
      <c r="G34" s="12" t="s">
        <v>146</v>
      </c>
      <c r="H34" s="13" t="s">
        <v>263</v>
      </c>
      <c r="I34" s="13"/>
      <c r="J34" s="13"/>
      <c r="K34" s="11" t="str">
        <f>"160,0"</f>
        <v>160,0</v>
      </c>
      <c r="L34" s="12" t="str">
        <f>"99,5840"</f>
        <v>99,5840</v>
      </c>
      <c r="M34" s="11" t="s">
        <v>293</v>
      </c>
    </row>
    <row r="35" spans="1:13" ht="12.75">
      <c r="A35" s="14" t="s">
        <v>329</v>
      </c>
      <c r="B35" s="14" t="s">
        <v>330</v>
      </c>
      <c r="C35" s="14" t="s">
        <v>331</v>
      </c>
      <c r="D35" s="14" t="str">
        <f>"0,6273"</f>
        <v>0,6273</v>
      </c>
      <c r="E35" s="14" t="s">
        <v>72</v>
      </c>
      <c r="F35" s="14" t="s">
        <v>49</v>
      </c>
      <c r="G35" s="15" t="s">
        <v>20</v>
      </c>
      <c r="H35" s="15" t="s">
        <v>106</v>
      </c>
      <c r="I35" s="15" t="s">
        <v>106</v>
      </c>
      <c r="J35" s="15"/>
      <c r="K35" s="14" t="str">
        <f>"0.00"</f>
        <v>0.00</v>
      </c>
      <c r="L35" s="17" t="str">
        <f>"0,0000"</f>
        <v>0,0000</v>
      </c>
      <c r="M35" s="14" t="s">
        <v>78</v>
      </c>
    </row>
    <row r="37" spans="1:12" ht="15">
      <c r="A37" s="52" t="s">
        <v>205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3" ht="12.75">
      <c r="A38" s="8" t="s">
        <v>333</v>
      </c>
      <c r="B38" s="8" t="s">
        <v>334</v>
      </c>
      <c r="C38" s="8" t="s">
        <v>335</v>
      </c>
      <c r="D38" s="8" t="str">
        <f>"0,5857"</f>
        <v>0,5857</v>
      </c>
      <c r="E38" s="8" t="s">
        <v>72</v>
      </c>
      <c r="F38" s="8" t="s">
        <v>49</v>
      </c>
      <c r="G38" s="9" t="s">
        <v>146</v>
      </c>
      <c r="H38" s="9" t="s">
        <v>164</v>
      </c>
      <c r="I38" s="9" t="s">
        <v>336</v>
      </c>
      <c r="J38" s="10"/>
      <c r="K38" s="8" t="str">
        <f>"177,5"</f>
        <v>177,5</v>
      </c>
      <c r="L38" s="9" t="str">
        <f>"103,9617"</f>
        <v>103,9617</v>
      </c>
      <c r="M38" s="8" t="s">
        <v>323</v>
      </c>
    </row>
    <row r="39" spans="1:13" ht="12.75">
      <c r="A39" s="11" t="s">
        <v>338</v>
      </c>
      <c r="B39" s="11" t="s">
        <v>339</v>
      </c>
      <c r="C39" s="11" t="s">
        <v>340</v>
      </c>
      <c r="D39" s="11" t="str">
        <f>"0,5914"</f>
        <v>0,5914</v>
      </c>
      <c r="E39" s="11" t="s">
        <v>33</v>
      </c>
      <c r="F39" s="11" t="s">
        <v>341</v>
      </c>
      <c r="G39" s="12" t="s">
        <v>144</v>
      </c>
      <c r="H39" s="12" t="s">
        <v>145</v>
      </c>
      <c r="I39" s="13" t="s">
        <v>263</v>
      </c>
      <c r="J39" s="13"/>
      <c r="K39" s="11" t="str">
        <f>"155,0"</f>
        <v>155,0</v>
      </c>
      <c r="L39" s="12" t="str">
        <f>"91,6670"</f>
        <v>91,6670</v>
      </c>
      <c r="M39" s="11" t="s">
        <v>44</v>
      </c>
    </row>
    <row r="40" spans="1:13" ht="12.75">
      <c r="A40" s="11" t="s">
        <v>343</v>
      </c>
      <c r="B40" s="11" t="s">
        <v>344</v>
      </c>
      <c r="C40" s="11" t="s">
        <v>345</v>
      </c>
      <c r="D40" s="11" t="str">
        <f>"0,5885"</f>
        <v>0,5885</v>
      </c>
      <c r="E40" s="11" t="s">
        <v>346</v>
      </c>
      <c r="F40" s="11" t="s">
        <v>347</v>
      </c>
      <c r="G40" s="12" t="s">
        <v>26</v>
      </c>
      <c r="H40" s="12" t="s">
        <v>145</v>
      </c>
      <c r="I40" s="13" t="s">
        <v>146</v>
      </c>
      <c r="J40" s="13"/>
      <c r="K40" s="11" t="str">
        <f>"155,0"</f>
        <v>155,0</v>
      </c>
      <c r="L40" s="12" t="str">
        <f>"91,2175"</f>
        <v>91,2175</v>
      </c>
      <c r="M40" s="11" t="s">
        <v>348</v>
      </c>
    </row>
    <row r="41" spans="1:13" ht="12.75">
      <c r="A41" s="11" t="s">
        <v>350</v>
      </c>
      <c r="B41" s="11" t="s">
        <v>351</v>
      </c>
      <c r="C41" s="11" t="s">
        <v>352</v>
      </c>
      <c r="D41" s="11" t="str">
        <f>"0,6041"</f>
        <v>0,6041</v>
      </c>
      <c r="E41" s="11" t="s">
        <v>33</v>
      </c>
      <c r="F41" s="11" t="s">
        <v>353</v>
      </c>
      <c r="G41" s="13" t="s">
        <v>25</v>
      </c>
      <c r="H41" s="12" t="s">
        <v>25</v>
      </c>
      <c r="I41" s="13" t="s">
        <v>245</v>
      </c>
      <c r="J41" s="13"/>
      <c r="K41" s="11" t="str">
        <f>"140,0"</f>
        <v>140,0</v>
      </c>
      <c r="L41" s="12" t="str">
        <f>"84,5740"</f>
        <v>84,5740</v>
      </c>
      <c r="M41" s="11" t="s">
        <v>354</v>
      </c>
    </row>
    <row r="42" spans="1:13" ht="12.75">
      <c r="A42" s="11" t="s">
        <v>355</v>
      </c>
      <c r="B42" s="11" t="s">
        <v>356</v>
      </c>
      <c r="C42" s="11" t="s">
        <v>357</v>
      </c>
      <c r="D42" s="11" t="str">
        <f>"0,5893"</f>
        <v>0,5893</v>
      </c>
      <c r="E42" s="11" t="s">
        <v>358</v>
      </c>
      <c r="F42" s="11" t="s">
        <v>49</v>
      </c>
      <c r="G42" s="13" t="s">
        <v>25</v>
      </c>
      <c r="H42" s="13" t="s">
        <v>25</v>
      </c>
      <c r="I42" s="13" t="s">
        <v>25</v>
      </c>
      <c r="J42" s="13"/>
      <c r="K42" s="11" t="str">
        <f>"0.00"</f>
        <v>0.00</v>
      </c>
      <c r="L42" s="12" t="str">
        <f>"0,0000"</f>
        <v>0,0000</v>
      </c>
      <c r="M42" s="11" t="s">
        <v>44</v>
      </c>
    </row>
    <row r="43" spans="1:13" ht="12.75">
      <c r="A43" s="14" t="s">
        <v>359</v>
      </c>
      <c r="B43" s="14" t="s">
        <v>360</v>
      </c>
      <c r="C43" s="14" t="s">
        <v>361</v>
      </c>
      <c r="D43" s="14" t="str">
        <f>"0,6013"</f>
        <v>0,6013</v>
      </c>
      <c r="E43" s="14" t="s">
        <v>193</v>
      </c>
      <c r="F43" s="14" t="s">
        <v>194</v>
      </c>
      <c r="G43" s="17" t="s">
        <v>40</v>
      </c>
      <c r="H43" s="17" t="s">
        <v>51</v>
      </c>
      <c r="I43" s="15" t="s">
        <v>52</v>
      </c>
      <c r="J43" s="15"/>
      <c r="K43" s="14" t="str">
        <f>"120,0"</f>
        <v>120,0</v>
      </c>
      <c r="L43" s="17" t="str">
        <f>"75,6195"</f>
        <v>75,6195</v>
      </c>
      <c r="M43" s="14" t="s">
        <v>195</v>
      </c>
    </row>
    <row r="45" spans="1:12" ht="15">
      <c r="A45" s="52" t="s">
        <v>68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3" ht="12.75">
      <c r="A46" s="8" t="s">
        <v>214</v>
      </c>
      <c r="B46" s="8" t="s">
        <v>215</v>
      </c>
      <c r="C46" s="8" t="s">
        <v>216</v>
      </c>
      <c r="D46" s="8" t="str">
        <f>"0,5815"</f>
        <v>0,5815</v>
      </c>
      <c r="E46" s="8" t="s">
        <v>217</v>
      </c>
      <c r="F46" s="8" t="s">
        <v>218</v>
      </c>
      <c r="G46" s="9" t="s">
        <v>21</v>
      </c>
      <c r="H46" s="9" t="s">
        <v>25</v>
      </c>
      <c r="I46" s="9" t="s">
        <v>26</v>
      </c>
      <c r="J46" s="10"/>
      <c r="K46" s="8" t="str">
        <f>"150,0"</f>
        <v>150,0</v>
      </c>
      <c r="L46" s="9" t="str">
        <f>"89,8417"</f>
        <v>89,8417</v>
      </c>
      <c r="M46" s="8" t="s">
        <v>44</v>
      </c>
    </row>
    <row r="47" spans="1:13" ht="12.75">
      <c r="A47" s="11" t="s">
        <v>362</v>
      </c>
      <c r="B47" s="11" t="s">
        <v>226</v>
      </c>
      <c r="C47" s="11" t="s">
        <v>227</v>
      </c>
      <c r="D47" s="11" t="str">
        <f>"0,5615"</f>
        <v>0,5615</v>
      </c>
      <c r="E47" s="11" t="s">
        <v>193</v>
      </c>
      <c r="F47" s="11" t="s">
        <v>194</v>
      </c>
      <c r="G47" s="12" t="s">
        <v>20</v>
      </c>
      <c r="H47" s="13" t="s">
        <v>106</v>
      </c>
      <c r="I47" s="13" t="s">
        <v>106</v>
      </c>
      <c r="J47" s="13"/>
      <c r="K47" s="11" t="str">
        <f>"125,0"</f>
        <v>125,0</v>
      </c>
      <c r="L47" s="12" t="str">
        <f>"70,1813"</f>
        <v>70,1813</v>
      </c>
      <c r="M47" s="11" t="s">
        <v>195</v>
      </c>
    </row>
    <row r="48" spans="1:13" ht="12.75">
      <c r="A48" s="14" t="s">
        <v>364</v>
      </c>
      <c r="B48" s="14" t="s">
        <v>365</v>
      </c>
      <c r="C48" s="14" t="s">
        <v>366</v>
      </c>
      <c r="D48" s="14" t="str">
        <f>"0,5801"</f>
        <v>0,5801</v>
      </c>
      <c r="E48" s="14" t="s">
        <v>33</v>
      </c>
      <c r="F48" s="14" t="s">
        <v>49</v>
      </c>
      <c r="G48" s="17" t="s">
        <v>367</v>
      </c>
      <c r="H48" s="15" t="s">
        <v>52</v>
      </c>
      <c r="I48" s="15" t="s">
        <v>20</v>
      </c>
      <c r="J48" s="15"/>
      <c r="K48" s="14" t="str">
        <f>"117,5"</f>
        <v>117,5</v>
      </c>
      <c r="L48" s="17" t="str">
        <f>"68,1617"</f>
        <v>68,1617</v>
      </c>
      <c r="M48" s="14" t="s">
        <v>44</v>
      </c>
    </row>
    <row r="50" spans="1:12" ht="15">
      <c r="A50" s="52" t="s">
        <v>166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20" ht="12.75">
      <c r="A51" s="40" t="s">
        <v>368</v>
      </c>
      <c r="B51" s="8" t="s">
        <v>369</v>
      </c>
      <c r="C51" s="46" t="s">
        <v>370</v>
      </c>
      <c r="D51" s="8" t="str">
        <f>"0,5371"</f>
        <v>0,5371</v>
      </c>
      <c r="E51" s="43" t="s">
        <v>59</v>
      </c>
      <c r="F51" s="40" t="s">
        <v>49</v>
      </c>
      <c r="G51" s="9" t="s">
        <v>144</v>
      </c>
      <c r="H51" s="48" t="s">
        <v>26</v>
      </c>
      <c r="I51" s="9" t="s">
        <v>145</v>
      </c>
      <c r="J51" s="50"/>
      <c r="K51" s="8" t="str">
        <f>"155,0"</f>
        <v>155,0</v>
      </c>
      <c r="L51" s="48" t="str">
        <f>"83,2428"</f>
        <v>83,2428</v>
      </c>
      <c r="M51" s="8" t="s">
        <v>371</v>
      </c>
      <c r="T51" s="38"/>
    </row>
    <row r="52" spans="1:13" ht="12.75">
      <c r="A52" s="41" t="s">
        <v>373</v>
      </c>
      <c r="B52" s="11" t="s">
        <v>374</v>
      </c>
      <c r="C52" s="4" t="s">
        <v>375</v>
      </c>
      <c r="D52" s="11" t="str">
        <f>"0,5394"</f>
        <v>0,5394</v>
      </c>
      <c r="E52" s="44" t="s">
        <v>72</v>
      </c>
      <c r="F52" s="41" t="s">
        <v>49</v>
      </c>
      <c r="G52" s="12" t="s">
        <v>26</v>
      </c>
      <c r="H52" s="3" t="s">
        <v>146</v>
      </c>
      <c r="I52" s="13" t="s">
        <v>376</v>
      </c>
      <c r="J52" s="39"/>
      <c r="K52" s="11" t="str">
        <f>"160,0"</f>
        <v>160,0</v>
      </c>
      <c r="L52" s="3" t="str">
        <f>"86,3040"</f>
        <v>86,3040</v>
      </c>
      <c r="M52" s="11" t="s">
        <v>377</v>
      </c>
    </row>
    <row r="53" spans="1:13" ht="12.75">
      <c r="A53" s="41" t="s">
        <v>379</v>
      </c>
      <c r="B53" s="11" t="s">
        <v>380</v>
      </c>
      <c r="C53" s="4" t="s">
        <v>381</v>
      </c>
      <c r="D53" s="11" t="str">
        <f>"0,5395"</f>
        <v>0,5395</v>
      </c>
      <c r="E53" s="44" t="s">
        <v>72</v>
      </c>
      <c r="F53" s="41" t="s">
        <v>49</v>
      </c>
      <c r="G53" s="12" t="s">
        <v>136</v>
      </c>
      <c r="H53" s="3" t="s">
        <v>245</v>
      </c>
      <c r="I53" s="13" t="s">
        <v>26</v>
      </c>
      <c r="J53" s="39"/>
      <c r="K53" s="11" t="str">
        <f>"147,5"</f>
        <v>147,5</v>
      </c>
      <c r="L53" s="3" t="str">
        <f>"79,5762"</f>
        <v>79,5762</v>
      </c>
      <c r="M53" s="11" t="s">
        <v>382</v>
      </c>
    </row>
    <row r="54" spans="1:13" ht="12.75">
      <c r="A54" s="4" t="s">
        <v>806</v>
      </c>
      <c r="B54" s="11" t="s">
        <v>384</v>
      </c>
      <c r="C54" s="4" t="s">
        <v>802</v>
      </c>
      <c r="D54" s="11" t="s">
        <v>803</v>
      </c>
      <c r="E54" s="4" t="s">
        <v>72</v>
      </c>
      <c r="F54" s="4" t="s">
        <v>49</v>
      </c>
      <c r="G54" s="12" t="s">
        <v>144</v>
      </c>
      <c r="H54" s="3" t="s">
        <v>245</v>
      </c>
      <c r="I54" s="13" t="s">
        <v>26</v>
      </c>
      <c r="J54" s="39"/>
      <c r="K54" s="11" t="str">
        <f>"147,5"</f>
        <v>147,5</v>
      </c>
      <c r="L54" s="3" t="s">
        <v>804</v>
      </c>
      <c r="M54" s="11" t="s">
        <v>78</v>
      </c>
    </row>
    <row r="55" spans="1:13" ht="12.75">
      <c r="A55" s="42" t="s">
        <v>805</v>
      </c>
      <c r="B55" s="14" t="s">
        <v>235</v>
      </c>
      <c r="C55" s="47" t="s">
        <v>236</v>
      </c>
      <c r="D55" s="14" t="str">
        <f>"0,5378"</f>
        <v>0,5378</v>
      </c>
      <c r="E55" s="45" t="s">
        <v>33</v>
      </c>
      <c r="F55" s="42" t="s">
        <v>49</v>
      </c>
      <c r="G55" s="17" t="s">
        <v>106</v>
      </c>
      <c r="H55" s="49" t="s">
        <v>245</v>
      </c>
      <c r="I55" s="15"/>
      <c r="J55" s="51"/>
      <c r="K55" s="14" t="str">
        <f>"147,5"</f>
        <v>147,5</v>
      </c>
      <c r="L55" s="49" t="str">
        <f>"79,3181"</f>
        <v>79,3181</v>
      </c>
      <c r="M55" s="14" t="s">
        <v>178</v>
      </c>
    </row>
    <row r="57" spans="1:12" ht="15">
      <c r="A57" s="52" t="s">
        <v>237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3" ht="12.75">
      <c r="A58" s="5" t="s">
        <v>242</v>
      </c>
      <c r="B58" s="5" t="s">
        <v>243</v>
      </c>
      <c r="C58" s="5" t="s">
        <v>244</v>
      </c>
      <c r="D58" s="5" t="str">
        <f>"0,5296"</f>
        <v>0,5296</v>
      </c>
      <c r="E58" s="5" t="s">
        <v>193</v>
      </c>
      <c r="F58" s="5" t="s">
        <v>194</v>
      </c>
      <c r="G58" s="7" t="s">
        <v>144</v>
      </c>
      <c r="H58" s="7" t="s">
        <v>26</v>
      </c>
      <c r="I58" s="7" t="s">
        <v>76</v>
      </c>
      <c r="J58" s="6"/>
      <c r="K58" s="5" t="str">
        <f>"152,5"</f>
        <v>152,5</v>
      </c>
      <c r="L58" s="7" t="str">
        <f>"115,4925"</f>
        <v>115,4925</v>
      </c>
      <c r="M58" s="5" t="s">
        <v>195</v>
      </c>
    </row>
    <row r="60" spans="5:6" ht="15">
      <c r="E60" s="16" t="s">
        <v>79</v>
      </c>
      <c r="F60" s="16" t="s">
        <v>801</v>
      </c>
    </row>
    <row r="61" spans="5:6" ht="15">
      <c r="E61" s="16" t="s">
        <v>80</v>
      </c>
      <c r="F61" s="16" t="s">
        <v>799</v>
      </c>
    </row>
    <row r="62" spans="5:6" ht="15">
      <c r="E62" s="16" t="s">
        <v>81</v>
      </c>
      <c r="F62" s="16" t="s">
        <v>801</v>
      </c>
    </row>
    <row r="63" spans="5:6" ht="15">
      <c r="E63" s="16" t="s">
        <v>82</v>
      </c>
      <c r="F63" s="16" t="s">
        <v>800</v>
      </c>
    </row>
    <row r="64" spans="5:6" ht="15">
      <c r="E64" s="16" t="s">
        <v>82</v>
      </c>
      <c r="F64" s="16" t="s">
        <v>807</v>
      </c>
    </row>
    <row r="66" ht="15">
      <c r="E66" s="16"/>
    </row>
    <row r="68" spans="1:2" ht="18">
      <c r="A68" s="18" t="s">
        <v>83</v>
      </c>
      <c r="B68" s="18"/>
    </row>
    <row r="69" spans="1:2" ht="15">
      <c r="A69" s="19" t="s">
        <v>92</v>
      </c>
      <c r="B69" s="19"/>
    </row>
    <row r="70" spans="1:2" ht="14.25">
      <c r="A70" s="21"/>
      <c r="B70" s="22" t="s">
        <v>85</v>
      </c>
    </row>
    <row r="71" spans="1:5" ht="15">
      <c r="A71" s="23" t="s">
        <v>86</v>
      </c>
      <c r="B71" s="23" t="s">
        <v>87</v>
      </c>
      <c r="C71" s="23" t="s">
        <v>88</v>
      </c>
      <c r="D71" s="23" t="s">
        <v>89</v>
      </c>
      <c r="E71" s="23" t="s">
        <v>90</v>
      </c>
    </row>
    <row r="72" spans="1:5" ht="12.75">
      <c r="A72" s="20" t="s">
        <v>303</v>
      </c>
      <c r="B72" s="4" t="s">
        <v>85</v>
      </c>
      <c r="C72" s="4" t="s">
        <v>93</v>
      </c>
      <c r="D72" s="4" t="s">
        <v>35</v>
      </c>
      <c r="E72" s="24" t="s">
        <v>385</v>
      </c>
    </row>
    <row r="73" spans="1:5" ht="12.75">
      <c r="A73" s="20" t="s">
        <v>319</v>
      </c>
      <c r="B73" s="4" t="s">
        <v>85</v>
      </c>
      <c r="C73" s="4" t="s">
        <v>95</v>
      </c>
      <c r="D73" s="4" t="s">
        <v>164</v>
      </c>
      <c r="E73" s="24" t="s">
        <v>386</v>
      </c>
    </row>
    <row r="74" spans="1:5" ht="12.75">
      <c r="A74" s="20" t="s">
        <v>332</v>
      </c>
      <c r="B74" s="4" t="s">
        <v>85</v>
      </c>
      <c r="C74" s="4" t="s">
        <v>254</v>
      </c>
      <c r="D74" s="4" t="s">
        <v>336</v>
      </c>
      <c r="E74" s="24" t="s">
        <v>387</v>
      </c>
    </row>
    <row r="75" spans="1:5" ht="12.75">
      <c r="A75" s="20" t="s">
        <v>324</v>
      </c>
      <c r="B75" s="4" t="s">
        <v>85</v>
      </c>
      <c r="C75" s="4" t="s">
        <v>95</v>
      </c>
      <c r="D75" s="4" t="s">
        <v>146</v>
      </c>
      <c r="E75" s="24" t="s">
        <v>388</v>
      </c>
    </row>
    <row r="76" spans="1:5" ht="12.75">
      <c r="A76" s="20" t="s">
        <v>337</v>
      </c>
      <c r="B76" s="4" t="s">
        <v>85</v>
      </c>
      <c r="C76" s="4" t="s">
        <v>254</v>
      </c>
      <c r="D76" s="4" t="s">
        <v>145</v>
      </c>
      <c r="E76" s="24" t="s">
        <v>389</v>
      </c>
    </row>
    <row r="77" spans="1:5" ht="12.75">
      <c r="A77" s="20" t="s">
        <v>342</v>
      </c>
      <c r="B77" s="4" t="s">
        <v>85</v>
      </c>
      <c r="C77" s="4" t="s">
        <v>254</v>
      </c>
      <c r="D77" s="4" t="s">
        <v>145</v>
      </c>
      <c r="E77" s="24" t="s">
        <v>390</v>
      </c>
    </row>
    <row r="78" spans="1:5" ht="12.75">
      <c r="A78" s="20" t="s">
        <v>307</v>
      </c>
      <c r="B78" s="4" t="s">
        <v>85</v>
      </c>
      <c r="C78" s="4" t="s">
        <v>93</v>
      </c>
      <c r="D78" s="4" t="s">
        <v>106</v>
      </c>
      <c r="E78" s="24" t="s">
        <v>391</v>
      </c>
    </row>
    <row r="79" spans="1:5" ht="12.75">
      <c r="A79" s="20" t="s">
        <v>372</v>
      </c>
      <c r="B79" s="4" t="s">
        <v>85</v>
      </c>
      <c r="C79" s="4" t="s">
        <v>174</v>
      </c>
      <c r="D79" s="4" t="s">
        <v>146</v>
      </c>
      <c r="E79" s="24" t="s">
        <v>392</v>
      </c>
    </row>
    <row r="80" spans="1:5" ht="12.75">
      <c r="A80" s="20" t="s">
        <v>310</v>
      </c>
      <c r="B80" s="4" t="s">
        <v>85</v>
      </c>
      <c r="C80" s="4" t="s">
        <v>93</v>
      </c>
      <c r="D80" s="4" t="s">
        <v>20</v>
      </c>
      <c r="E80" s="24" t="s">
        <v>393</v>
      </c>
    </row>
    <row r="81" spans="1:5" ht="12.75">
      <c r="A81" s="20" t="s">
        <v>349</v>
      </c>
      <c r="B81" s="4" t="s">
        <v>85</v>
      </c>
      <c r="C81" s="4" t="s">
        <v>254</v>
      </c>
      <c r="D81" s="4" t="s">
        <v>25</v>
      </c>
      <c r="E81" s="24" t="s">
        <v>394</v>
      </c>
    </row>
    <row r="82" spans="1:5" ht="12.75">
      <c r="A82" s="20" t="s">
        <v>378</v>
      </c>
      <c r="B82" s="4" t="s">
        <v>85</v>
      </c>
      <c r="C82" s="4" t="s">
        <v>174</v>
      </c>
      <c r="D82" s="4" t="s">
        <v>245</v>
      </c>
      <c r="E82" s="24" t="s">
        <v>395</v>
      </c>
    </row>
    <row r="83" spans="1:5" ht="12.75">
      <c r="A83" s="20" t="s">
        <v>383</v>
      </c>
      <c r="B83" s="4" t="s">
        <v>85</v>
      </c>
      <c r="C83" s="4" t="s">
        <v>174</v>
      </c>
      <c r="D83" s="4" t="s">
        <v>245</v>
      </c>
      <c r="E83" s="24" t="s">
        <v>804</v>
      </c>
    </row>
    <row r="84" spans="1:5" ht="12.75">
      <c r="A84" s="20" t="s">
        <v>233</v>
      </c>
      <c r="B84" s="4" t="s">
        <v>85</v>
      </c>
      <c r="C84" s="4" t="s">
        <v>174</v>
      </c>
      <c r="D84" s="4" t="s">
        <v>245</v>
      </c>
      <c r="E84" s="24" t="s">
        <v>396</v>
      </c>
    </row>
    <row r="85" spans="1:5" ht="12.75">
      <c r="A85" s="20" t="s">
        <v>224</v>
      </c>
      <c r="B85" s="4" t="s">
        <v>85</v>
      </c>
      <c r="C85" s="4" t="s">
        <v>94</v>
      </c>
      <c r="D85" s="4" t="s">
        <v>20</v>
      </c>
      <c r="E85" s="24" t="s">
        <v>257</v>
      </c>
    </row>
    <row r="86" spans="1:5" ht="12.75">
      <c r="A86" s="20" t="s">
        <v>363</v>
      </c>
      <c r="B86" s="4" t="s">
        <v>85</v>
      </c>
      <c r="C86" s="4" t="s">
        <v>94</v>
      </c>
      <c r="D86" s="4" t="s">
        <v>367</v>
      </c>
      <c r="E86" s="24" t="s">
        <v>397</v>
      </c>
    </row>
    <row r="87" spans="1:5" ht="12.75">
      <c r="A87" s="3"/>
      <c r="B87" s="3"/>
      <c r="C87" s="3"/>
      <c r="D87" s="3"/>
      <c r="E87" s="3"/>
    </row>
  </sheetData>
  <sheetProtection/>
  <mergeCells count="23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5:L45"/>
    <mergeCell ref="A50:L50"/>
    <mergeCell ref="A57:L57"/>
    <mergeCell ref="A14:L14"/>
    <mergeCell ref="A17:L17"/>
    <mergeCell ref="A21:L21"/>
    <mergeCell ref="A25:L25"/>
    <mergeCell ref="A31:L31"/>
    <mergeCell ref="A37:L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6.8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152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8" t="s">
        <v>398</v>
      </c>
      <c r="B6" s="8" t="s">
        <v>399</v>
      </c>
      <c r="C6" s="8" t="s">
        <v>400</v>
      </c>
      <c r="D6" s="8" t="str">
        <f>"0,7842"</f>
        <v>0,7842</v>
      </c>
      <c r="E6" s="8" t="s">
        <v>72</v>
      </c>
      <c r="F6" s="8" t="s">
        <v>401</v>
      </c>
      <c r="G6" s="9" t="s">
        <v>40</v>
      </c>
      <c r="H6" s="9" t="s">
        <v>367</v>
      </c>
      <c r="I6" s="9" t="s">
        <v>51</v>
      </c>
      <c r="J6" s="10"/>
      <c r="K6" s="8" t="str">
        <f>"120,0"</f>
        <v>120,0</v>
      </c>
      <c r="L6" s="9" t="str">
        <f>"94,1040"</f>
        <v>94,1040</v>
      </c>
      <c r="M6" s="8" t="s">
        <v>78</v>
      </c>
    </row>
    <row r="7" spans="1:13" ht="12.75">
      <c r="A7" s="14" t="s">
        <v>398</v>
      </c>
      <c r="B7" s="14" t="s">
        <v>402</v>
      </c>
      <c r="C7" s="14" t="s">
        <v>400</v>
      </c>
      <c r="D7" s="14" t="str">
        <f>"0,7842"</f>
        <v>0,7842</v>
      </c>
      <c r="E7" s="14" t="s">
        <v>72</v>
      </c>
      <c r="F7" s="14" t="s">
        <v>401</v>
      </c>
      <c r="G7" s="17" t="s">
        <v>40</v>
      </c>
      <c r="H7" s="17" t="s">
        <v>367</v>
      </c>
      <c r="I7" s="17" t="s">
        <v>51</v>
      </c>
      <c r="J7" s="15"/>
      <c r="K7" s="14" t="str">
        <f>"120,0"</f>
        <v>120,0</v>
      </c>
      <c r="L7" s="17" t="str">
        <f>"95,7979"</f>
        <v>95,7979</v>
      </c>
      <c r="M7" s="14" t="s">
        <v>78</v>
      </c>
    </row>
    <row r="9" spans="1:12" ht="15">
      <c r="A9" s="52" t="s">
        <v>205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 ht="12.75">
      <c r="A10" s="5" t="s">
        <v>403</v>
      </c>
      <c r="B10" s="5" t="s">
        <v>404</v>
      </c>
      <c r="C10" s="5" t="s">
        <v>405</v>
      </c>
      <c r="D10" s="5" t="str">
        <f>"0,6144"</f>
        <v>0,6144</v>
      </c>
      <c r="E10" s="5" t="s">
        <v>33</v>
      </c>
      <c r="F10" s="5" t="s">
        <v>49</v>
      </c>
      <c r="G10" s="6" t="s">
        <v>25</v>
      </c>
      <c r="H10" s="6" t="s">
        <v>25</v>
      </c>
      <c r="I10" s="6" t="s">
        <v>25</v>
      </c>
      <c r="J10" s="6"/>
      <c r="K10" s="5" t="str">
        <f>"0.00"</f>
        <v>0.00</v>
      </c>
      <c r="L10" s="7" t="str">
        <f>"0,0000"</f>
        <v>0,0000</v>
      </c>
      <c r="M10" s="5" t="s">
        <v>44</v>
      </c>
    </row>
    <row r="12" spans="1:12" ht="15">
      <c r="A12" s="52" t="s">
        <v>68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12.75">
      <c r="A13" s="8" t="s">
        <v>260</v>
      </c>
      <c r="B13" s="8" t="s">
        <v>261</v>
      </c>
      <c r="C13" s="8" t="s">
        <v>262</v>
      </c>
      <c r="D13" s="8" t="str">
        <f>"0,5541"</f>
        <v>0,5541</v>
      </c>
      <c r="E13" s="8" t="s">
        <v>193</v>
      </c>
      <c r="F13" s="8" t="s">
        <v>194</v>
      </c>
      <c r="G13" s="9" t="s">
        <v>61</v>
      </c>
      <c r="H13" s="9" t="s">
        <v>35</v>
      </c>
      <c r="I13" s="9" t="s">
        <v>170</v>
      </c>
      <c r="J13" s="10"/>
      <c r="K13" s="8" t="str">
        <f>"190,0"</f>
        <v>190,0</v>
      </c>
      <c r="L13" s="9" t="str">
        <f>"105,2885"</f>
        <v>105,2885</v>
      </c>
      <c r="M13" s="8" t="s">
        <v>44</v>
      </c>
    </row>
    <row r="14" spans="1:13" ht="12.75">
      <c r="A14" s="14" t="s">
        <v>406</v>
      </c>
      <c r="B14" s="14" t="s">
        <v>407</v>
      </c>
      <c r="C14" s="14" t="s">
        <v>408</v>
      </c>
      <c r="D14" s="14" t="str">
        <f>"0,5710"</f>
        <v>0,5710</v>
      </c>
      <c r="E14" s="14" t="s">
        <v>33</v>
      </c>
      <c r="F14" s="14" t="s">
        <v>409</v>
      </c>
      <c r="G14" s="17" t="s">
        <v>145</v>
      </c>
      <c r="H14" s="15" t="s">
        <v>146</v>
      </c>
      <c r="I14" s="17" t="s">
        <v>159</v>
      </c>
      <c r="J14" s="15"/>
      <c r="K14" s="14" t="str">
        <f>"165,0"</f>
        <v>165,0</v>
      </c>
      <c r="L14" s="17" t="str">
        <f>"94,2150"</f>
        <v>94,2150</v>
      </c>
      <c r="M14" s="14" t="s">
        <v>44</v>
      </c>
    </row>
    <row r="16" spans="1:12" ht="15">
      <c r="A16" s="52" t="s">
        <v>166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 ht="12.75">
      <c r="A17" s="5" t="s">
        <v>410</v>
      </c>
      <c r="B17" s="5" t="s">
        <v>411</v>
      </c>
      <c r="C17" s="5" t="s">
        <v>412</v>
      </c>
      <c r="D17" s="5" t="str">
        <f>"0,5477"</f>
        <v>0,5477</v>
      </c>
      <c r="E17" s="5" t="s">
        <v>72</v>
      </c>
      <c r="F17" s="5" t="s">
        <v>49</v>
      </c>
      <c r="G17" s="7" t="s">
        <v>413</v>
      </c>
      <c r="H17" s="7" t="s">
        <v>73</v>
      </c>
      <c r="I17" s="7" t="s">
        <v>77</v>
      </c>
      <c r="J17" s="6"/>
      <c r="K17" s="5" t="str">
        <f>"242,5"</f>
        <v>242,5</v>
      </c>
      <c r="L17" s="7" t="str">
        <f>"132,8172"</f>
        <v>132,8172</v>
      </c>
      <c r="M17" s="5" t="s">
        <v>78</v>
      </c>
    </row>
    <row r="19" spans="1:12" ht="15">
      <c r="A19" s="52" t="s">
        <v>237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ht="12.75">
      <c r="A20" s="5" t="s">
        <v>414</v>
      </c>
      <c r="B20" s="5" t="s">
        <v>415</v>
      </c>
      <c r="C20" s="5" t="s">
        <v>416</v>
      </c>
      <c r="D20" s="5" t="str">
        <f>"0,5314"</f>
        <v>0,5314</v>
      </c>
      <c r="E20" s="5" t="s">
        <v>72</v>
      </c>
      <c r="F20" s="5" t="s">
        <v>49</v>
      </c>
      <c r="G20" s="7" t="s">
        <v>413</v>
      </c>
      <c r="H20" s="6" t="s">
        <v>165</v>
      </c>
      <c r="I20" s="6" t="s">
        <v>165</v>
      </c>
      <c r="J20" s="6"/>
      <c r="K20" s="5" t="str">
        <f>"230,0"</f>
        <v>230,0</v>
      </c>
      <c r="L20" s="7" t="str">
        <f>"122,2220"</f>
        <v>122,2220</v>
      </c>
      <c r="M20" s="5" t="s">
        <v>78</v>
      </c>
    </row>
    <row r="22" spans="5:6" ht="15">
      <c r="E22" s="16" t="s">
        <v>79</v>
      </c>
      <c r="F22" s="16" t="s">
        <v>798</v>
      </c>
    </row>
    <row r="23" spans="5:6" ht="15">
      <c r="E23" s="16" t="s">
        <v>80</v>
      </c>
      <c r="F23" s="16" t="s">
        <v>799</v>
      </c>
    </row>
    <row r="24" spans="5:6" ht="15">
      <c r="E24" s="16" t="s">
        <v>81</v>
      </c>
      <c r="F24" s="16" t="s">
        <v>798</v>
      </c>
    </row>
    <row r="25" spans="5:6" ht="15">
      <c r="E25" s="16" t="s">
        <v>82</v>
      </c>
      <c r="F25" s="16" t="s">
        <v>800</v>
      </c>
    </row>
    <row r="26" spans="5:6" ht="15">
      <c r="E26" s="16" t="s">
        <v>82</v>
      </c>
      <c r="F26" s="16" t="s">
        <v>801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A19:L19"/>
    <mergeCell ref="K3:K4"/>
    <mergeCell ref="L3:L4"/>
    <mergeCell ref="M3:M4"/>
    <mergeCell ref="A5:L5"/>
    <mergeCell ref="A9:L9"/>
    <mergeCell ref="A12:L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60" t="s">
        <v>820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54" t="s">
        <v>9</v>
      </c>
      <c r="E3" s="54" t="s">
        <v>4</v>
      </c>
      <c r="F3" s="54" t="s">
        <v>8</v>
      </c>
      <c r="G3" s="54" t="s">
        <v>11</v>
      </c>
      <c r="H3" s="54"/>
      <c r="I3" s="54"/>
      <c r="J3" s="54"/>
      <c r="K3" s="54" t="s">
        <v>259</v>
      </c>
      <c r="L3" s="54" t="s">
        <v>3</v>
      </c>
      <c r="M3" s="56" t="s">
        <v>2</v>
      </c>
    </row>
    <row r="4" spans="1:13" s="1" customFormat="1" ht="21" customHeight="1" thickBot="1">
      <c r="A4" s="67"/>
      <c r="B4" s="55"/>
      <c r="C4" s="55"/>
      <c r="D4" s="55"/>
      <c r="E4" s="55"/>
      <c r="F4" s="55"/>
      <c r="G4" s="34">
        <v>1</v>
      </c>
      <c r="H4" s="34">
        <v>2</v>
      </c>
      <c r="I4" s="34">
        <v>3</v>
      </c>
      <c r="J4" s="34" t="s">
        <v>5</v>
      </c>
      <c r="K4" s="55"/>
      <c r="L4" s="55"/>
      <c r="M4" s="57"/>
    </row>
    <row r="5" spans="1:12" ht="15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2.75">
      <c r="A6" s="8" t="s">
        <v>418</v>
      </c>
      <c r="B6" s="8" t="s">
        <v>419</v>
      </c>
      <c r="C6" s="8" t="s">
        <v>420</v>
      </c>
      <c r="D6" s="8" t="str">
        <f>"0,6198"</f>
        <v>0,6198</v>
      </c>
      <c r="E6" s="8" t="s">
        <v>72</v>
      </c>
      <c r="F6" s="8" t="s">
        <v>49</v>
      </c>
      <c r="G6" s="9" t="s">
        <v>170</v>
      </c>
      <c r="H6" s="10" t="s">
        <v>421</v>
      </c>
      <c r="I6" s="10" t="s">
        <v>421</v>
      </c>
      <c r="J6" s="10"/>
      <c r="K6" s="8" t="str">
        <f>"190,0"</f>
        <v>190,0</v>
      </c>
      <c r="L6" s="9" t="str">
        <f>"117,7620"</f>
        <v>117,7620</v>
      </c>
      <c r="M6" s="8" t="s">
        <v>78</v>
      </c>
    </row>
    <row r="7" spans="1:13" ht="12.75">
      <c r="A7" s="14" t="s">
        <v>201</v>
      </c>
      <c r="B7" s="14" t="s">
        <v>202</v>
      </c>
      <c r="C7" s="14" t="s">
        <v>203</v>
      </c>
      <c r="D7" s="14" t="str">
        <f>"0,6262"</f>
        <v>0,6262</v>
      </c>
      <c r="E7" s="14" t="s">
        <v>33</v>
      </c>
      <c r="F7" s="14" t="s">
        <v>204</v>
      </c>
      <c r="G7" s="15" t="s">
        <v>60</v>
      </c>
      <c r="H7" s="17" t="s">
        <v>60</v>
      </c>
      <c r="I7" s="15" t="s">
        <v>61</v>
      </c>
      <c r="J7" s="15"/>
      <c r="K7" s="14" t="str">
        <f>"175,0"</f>
        <v>175,0</v>
      </c>
      <c r="L7" s="17" t="str">
        <f>"109,5850"</f>
        <v>109,5850</v>
      </c>
      <c r="M7" s="14" t="s">
        <v>44</v>
      </c>
    </row>
    <row r="9" spans="1:12" ht="15">
      <c r="A9" s="52" t="s">
        <v>205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 ht="12.75">
      <c r="A10" s="8" t="s">
        <v>423</v>
      </c>
      <c r="B10" s="8" t="s">
        <v>424</v>
      </c>
      <c r="C10" s="8" t="s">
        <v>425</v>
      </c>
      <c r="D10" s="8" t="str">
        <f>"0,5889"</f>
        <v>0,5889</v>
      </c>
      <c r="E10" s="8" t="s">
        <v>72</v>
      </c>
      <c r="F10" s="8" t="s">
        <v>49</v>
      </c>
      <c r="G10" s="9" t="s">
        <v>426</v>
      </c>
      <c r="H10" s="10" t="s">
        <v>427</v>
      </c>
      <c r="I10" s="10" t="s">
        <v>427</v>
      </c>
      <c r="J10" s="10"/>
      <c r="K10" s="8" t="str">
        <f>"207,5"</f>
        <v>207,5</v>
      </c>
      <c r="L10" s="9" t="str">
        <f>"122,1968"</f>
        <v>122,1968</v>
      </c>
      <c r="M10" s="8" t="s">
        <v>44</v>
      </c>
    </row>
    <row r="11" spans="1:13" ht="12.75">
      <c r="A11" s="11" t="s">
        <v>428</v>
      </c>
      <c r="B11" s="11" t="s">
        <v>344</v>
      </c>
      <c r="C11" s="11" t="s">
        <v>345</v>
      </c>
      <c r="D11" s="11" t="str">
        <f>"0,5885"</f>
        <v>0,5885</v>
      </c>
      <c r="E11" s="11" t="s">
        <v>346</v>
      </c>
      <c r="F11" s="11" t="s">
        <v>347</v>
      </c>
      <c r="G11" s="12" t="s">
        <v>61</v>
      </c>
      <c r="H11" s="12" t="s">
        <v>62</v>
      </c>
      <c r="I11" s="13" t="s">
        <v>36</v>
      </c>
      <c r="J11" s="13"/>
      <c r="K11" s="11" t="str">
        <f>"187,5"</f>
        <v>187,5</v>
      </c>
      <c r="L11" s="12" t="str">
        <f>"110,3438"</f>
        <v>110,3438</v>
      </c>
      <c r="M11" s="11" t="s">
        <v>348</v>
      </c>
    </row>
    <row r="12" spans="1:13" ht="12.75">
      <c r="A12" s="14" t="s">
        <v>430</v>
      </c>
      <c r="B12" s="14" t="s">
        <v>431</v>
      </c>
      <c r="C12" s="14" t="s">
        <v>345</v>
      </c>
      <c r="D12" s="14" t="str">
        <f>"0,5885"</f>
        <v>0,5885</v>
      </c>
      <c r="E12" s="14" t="s">
        <v>72</v>
      </c>
      <c r="F12" s="14" t="s">
        <v>49</v>
      </c>
      <c r="G12" s="17" t="s">
        <v>60</v>
      </c>
      <c r="H12" s="15" t="s">
        <v>62</v>
      </c>
      <c r="I12" s="15" t="s">
        <v>62</v>
      </c>
      <c r="J12" s="15"/>
      <c r="K12" s="14" t="str">
        <f>"175,0"</f>
        <v>175,0</v>
      </c>
      <c r="L12" s="17" t="str">
        <f>"102,9875"</f>
        <v>102,9875</v>
      </c>
      <c r="M12" s="14" t="s">
        <v>44</v>
      </c>
    </row>
    <row r="14" spans="1:12" ht="15">
      <c r="A14" s="52" t="s">
        <v>68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5" t="s">
        <v>433</v>
      </c>
      <c r="B15" s="5" t="s">
        <v>434</v>
      </c>
      <c r="C15" s="5" t="s">
        <v>435</v>
      </c>
      <c r="D15" s="5" t="str">
        <f>"0,5548"</f>
        <v>0,5548</v>
      </c>
      <c r="E15" s="5" t="s">
        <v>72</v>
      </c>
      <c r="F15" s="5" t="s">
        <v>49</v>
      </c>
      <c r="G15" s="7" t="s">
        <v>41</v>
      </c>
      <c r="H15" s="7" t="s">
        <v>436</v>
      </c>
      <c r="I15" s="6" t="s">
        <v>165</v>
      </c>
      <c r="J15" s="6"/>
      <c r="K15" s="5" t="str">
        <f>"225,0"</f>
        <v>225,0</v>
      </c>
      <c r="L15" s="7" t="str">
        <f>"124,8300"</f>
        <v>124,8300</v>
      </c>
      <c r="M15" s="5" t="s">
        <v>78</v>
      </c>
    </row>
    <row r="17" spans="1:12" ht="15">
      <c r="A17" s="52" t="s">
        <v>437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 ht="12.75">
      <c r="A18" s="5" t="s">
        <v>439</v>
      </c>
      <c r="B18" s="5" t="s">
        <v>440</v>
      </c>
      <c r="C18" s="5" t="s">
        <v>441</v>
      </c>
      <c r="D18" s="5" t="str">
        <f>"0,5171"</f>
        <v>0,5171</v>
      </c>
      <c r="E18" s="5" t="s">
        <v>442</v>
      </c>
      <c r="F18" s="5" t="s">
        <v>49</v>
      </c>
      <c r="G18" s="7" t="s">
        <v>61</v>
      </c>
      <c r="H18" s="7" t="s">
        <v>170</v>
      </c>
      <c r="I18" s="6" t="s">
        <v>36</v>
      </c>
      <c r="J18" s="6"/>
      <c r="K18" s="5" t="str">
        <f>"190,0"</f>
        <v>190,0</v>
      </c>
      <c r="L18" s="7" t="str">
        <f>"98,2490"</f>
        <v>98,2490</v>
      </c>
      <c r="M18" s="5" t="s">
        <v>44</v>
      </c>
    </row>
    <row r="20" spans="5:6" ht="15">
      <c r="E20" s="16" t="s">
        <v>79</v>
      </c>
      <c r="F20" s="16" t="s">
        <v>798</v>
      </c>
    </row>
    <row r="21" spans="5:6" ht="15">
      <c r="E21" s="16" t="s">
        <v>80</v>
      </c>
      <c r="F21" s="16" t="s">
        <v>799</v>
      </c>
    </row>
    <row r="22" spans="5:6" ht="15">
      <c r="E22" s="16" t="s">
        <v>81</v>
      </c>
      <c r="F22" s="16" t="s">
        <v>807</v>
      </c>
    </row>
    <row r="23" spans="5:6" ht="15">
      <c r="E23" s="16" t="s">
        <v>82</v>
      </c>
      <c r="F23" s="16" t="s">
        <v>800</v>
      </c>
    </row>
    <row r="24" spans="5:6" ht="15">
      <c r="E24" s="16" t="s">
        <v>82</v>
      </c>
      <c r="F24" s="16" t="s">
        <v>808</v>
      </c>
    </row>
    <row r="26" ht="15">
      <c r="E26" s="16"/>
    </row>
    <row r="28" spans="1:2" ht="18">
      <c r="A28" s="18" t="s">
        <v>83</v>
      </c>
      <c r="B28" s="18"/>
    </row>
    <row r="29" spans="1:2" ht="15">
      <c r="A29" s="19" t="s">
        <v>92</v>
      </c>
      <c r="B29" s="19"/>
    </row>
    <row r="30" spans="1:2" ht="14.25">
      <c r="A30" s="21"/>
      <c r="B30" s="22" t="s">
        <v>85</v>
      </c>
    </row>
    <row r="31" spans="1:5" ht="15">
      <c r="A31" s="23" t="s">
        <v>86</v>
      </c>
      <c r="B31" s="23" t="s">
        <v>87</v>
      </c>
      <c r="C31" s="23" t="s">
        <v>88</v>
      </c>
      <c r="D31" s="23" t="s">
        <v>89</v>
      </c>
      <c r="E31" s="23" t="s">
        <v>90</v>
      </c>
    </row>
    <row r="32" spans="1:5" ht="12.75">
      <c r="A32" s="20" t="s">
        <v>432</v>
      </c>
      <c r="B32" s="4" t="s">
        <v>85</v>
      </c>
      <c r="C32" s="4" t="s">
        <v>94</v>
      </c>
      <c r="D32" s="4" t="s">
        <v>436</v>
      </c>
      <c r="E32" s="24" t="s">
        <v>443</v>
      </c>
    </row>
    <row r="33" spans="1:5" ht="12.75">
      <c r="A33" s="20" t="s">
        <v>422</v>
      </c>
      <c r="B33" s="4" t="s">
        <v>85</v>
      </c>
      <c r="C33" s="4" t="s">
        <v>254</v>
      </c>
      <c r="D33" s="4" t="s">
        <v>426</v>
      </c>
      <c r="E33" s="24" t="s">
        <v>444</v>
      </c>
    </row>
    <row r="34" spans="1:5" ht="12.75">
      <c r="A34" s="20" t="s">
        <v>417</v>
      </c>
      <c r="B34" s="4" t="s">
        <v>85</v>
      </c>
      <c r="C34" s="4" t="s">
        <v>95</v>
      </c>
      <c r="D34" s="4" t="s">
        <v>170</v>
      </c>
      <c r="E34" s="24" t="s">
        <v>445</v>
      </c>
    </row>
    <row r="35" spans="1:5" ht="12.75">
      <c r="A35" s="20" t="s">
        <v>342</v>
      </c>
      <c r="B35" s="4" t="s">
        <v>85</v>
      </c>
      <c r="C35" s="4" t="s">
        <v>254</v>
      </c>
      <c r="D35" s="4" t="s">
        <v>62</v>
      </c>
      <c r="E35" s="24" t="s">
        <v>446</v>
      </c>
    </row>
    <row r="36" spans="1:5" ht="12.75">
      <c r="A36" s="20" t="s">
        <v>200</v>
      </c>
      <c r="B36" s="4" t="s">
        <v>85</v>
      </c>
      <c r="C36" s="4" t="s">
        <v>95</v>
      </c>
      <c r="D36" s="4" t="s">
        <v>60</v>
      </c>
      <c r="E36" s="24" t="s">
        <v>447</v>
      </c>
    </row>
    <row r="37" spans="1:5" ht="12.75">
      <c r="A37" s="20" t="s">
        <v>429</v>
      </c>
      <c r="B37" s="4" t="s">
        <v>85</v>
      </c>
      <c r="C37" s="4" t="s">
        <v>254</v>
      </c>
      <c r="D37" s="4" t="s">
        <v>60</v>
      </c>
      <c r="E37" s="24" t="s">
        <v>448</v>
      </c>
    </row>
    <row r="38" spans="1:5" ht="12.75">
      <c r="A38" s="20" t="s">
        <v>438</v>
      </c>
      <c r="B38" s="4" t="s">
        <v>85</v>
      </c>
      <c r="C38" s="4" t="s">
        <v>449</v>
      </c>
      <c r="D38" s="4" t="s">
        <v>170</v>
      </c>
      <c r="E38" s="24" t="s">
        <v>450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K3:K4"/>
    <mergeCell ref="L3:L4"/>
    <mergeCell ref="M3:M4"/>
    <mergeCell ref="A5:L5"/>
    <mergeCell ref="A9:L9"/>
    <mergeCell ref="A14:L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2020-01-21T13:29:06Z</dcterms:modified>
  <cp:category/>
  <cp:version/>
  <cp:contentType/>
  <cp:contentStatus/>
</cp:coreProperties>
</file>