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60" windowHeight="7590" activeTab="0"/>
  </bookViews>
  <sheets>
    <sheet name="Бицебс Любители" sheetId="1" r:id="rId1"/>
    <sheet name="Бицепс Профессионалы" sheetId="2" r:id="rId2"/>
    <sheet name="ПРО тяга б.э." sheetId="3" r:id="rId3"/>
    <sheet name="Люб. тяга б.э." sheetId="4" r:id="rId4"/>
    <sheet name="ПРО жим б.э." sheetId="5" r:id="rId5"/>
    <sheet name="Люб. жим б.э." sheetId="6" r:id="rId6"/>
    <sheet name="ПРО Военный жим" sheetId="7" r:id="rId7"/>
    <sheet name="Люб. Военный жим" sheetId="8" r:id="rId8"/>
    <sheet name="Русский Жим Люб. и Про" sheetId="9" r:id="rId9"/>
    <sheet name="Народный жим" sheetId="10" r:id="rId10"/>
    <sheet name="Русская Стан. Тяга Люб. и Про" sheetId="11" r:id="rId11"/>
    <sheet name="Лист1" sheetId="12" r:id="rId12"/>
  </sheets>
  <definedNames/>
  <calcPr fullCalcOnLoad="1" refMode="R1C1"/>
</workbook>
</file>

<file path=xl/sharedStrings.xml><?xml version="1.0" encoding="utf-8"?>
<sst xmlns="http://schemas.openxmlformats.org/spreadsheetml/2006/main" count="2234" uniqueCount="731">
  <si>
    <t>ФИО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</si>
  <si>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</si>
  <si>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</si>
  <si>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</si>
  <si>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</si>
  <si>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</si>
  <si>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</si>
  <si>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</si>
  <si>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Кубок Западной Сибири по силовым видам спорта "БИТВА ВАРЯГОВ 2"
Любители военный жим
Омск/Омская область ноября 2019 г.</t>
  </si>
  <si>
    <t>Shv/Mel</t>
  </si>
  <si>
    <t>Жим лёжа</t>
  </si>
  <si>
    <t>ВЕСОВАЯ КАТЕГОРИЯ   48</t>
  </si>
  <si>
    <t>1. Евтушенко Валерия</t>
  </si>
  <si>
    <t>Открытая (29.07.1988)/31</t>
  </si>
  <si>
    <t>47,90</t>
  </si>
  <si>
    <t xml:space="preserve">лично </t>
  </si>
  <si>
    <t xml:space="preserve">Омск/Омская область </t>
  </si>
  <si>
    <t>40,0</t>
  </si>
  <si>
    <t>42,5</t>
  </si>
  <si>
    <t>45,0</t>
  </si>
  <si>
    <t xml:space="preserve"> </t>
  </si>
  <si>
    <t>ВЕСОВАЯ КАТЕГОРИЯ   52</t>
  </si>
  <si>
    <t>1. Малиновская Виктория</t>
  </si>
  <si>
    <t>Открытая (22.12.1994)/24</t>
  </si>
  <si>
    <t>51,30</t>
  </si>
  <si>
    <t>47,5</t>
  </si>
  <si>
    <t>ВЕСОВАЯ КАТЕГОРИЯ   56</t>
  </si>
  <si>
    <t>1. Немцова Наталья</t>
  </si>
  <si>
    <t>Открытая (04.06.1982)/37</t>
  </si>
  <si>
    <t>55,15</t>
  </si>
  <si>
    <t>37,5</t>
  </si>
  <si>
    <t>2. Диденко Валерия</t>
  </si>
  <si>
    <t>Открытая (06.09.1982)/37</t>
  </si>
  <si>
    <t>55,80</t>
  </si>
  <si>
    <t>ВЕСОВАЯ КАТЕГОРИЯ   60</t>
  </si>
  <si>
    <t>1. Страхова Мария</t>
  </si>
  <si>
    <t>Открытая (30.11.1984)/34</t>
  </si>
  <si>
    <t>59,00</t>
  </si>
  <si>
    <t>ВЕСОВАЯ КАТЕГОРИЯ   82.5</t>
  </si>
  <si>
    <t>1. Цыруль Лев</t>
  </si>
  <si>
    <t>Юноши 18 - 19 (26.11.1999)/19</t>
  </si>
  <si>
    <t>81,50</t>
  </si>
  <si>
    <t>115,0</t>
  </si>
  <si>
    <t>120,0</t>
  </si>
  <si>
    <t>125,0</t>
  </si>
  <si>
    <t>1. Евтушенко Иван</t>
  </si>
  <si>
    <t>Открытая (07.04.1987)/32</t>
  </si>
  <si>
    <t>81,80</t>
  </si>
  <si>
    <t>1. Коротеев Игорь</t>
  </si>
  <si>
    <t>Мастера 40 - 44 (23.11.1975)/43</t>
  </si>
  <si>
    <t>81,25</t>
  </si>
  <si>
    <t>ВЕСОВАЯ КАТЕГОРИЯ   90</t>
  </si>
  <si>
    <t>1. Уланов Алексей</t>
  </si>
  <si>
    <t>Открытая (17.09.1991)/28</t>
  </si>
  <si>
    <t>89,60</t>
  </si>
  <si>
    <t>122,5</t>
  </si>
  <si>
    <t>142,5</t>
  </si>
  <si>
    <t xml:space="preserve">1. Селезнев </t>
  </si>
  <si>
    <t>Мастера 60 - 64 (20.02.1956)/63</t>
  </si>
  <si>
    <t>88,80</t>
  </si>
  <si>
    <t>130,0</t>
  </si>
  <si>
    <t>132,5</t>
  </si>
  <si>
    <t>ВЕСОВАЯ КАТЕГОРИЯ   100</t>
  </si>
  <si>
    <t>1. Мальцев Алексей</t>
  </si>
  <si>
    <t>Юниоры 20 - 23 (13.12.1997)/21</t>
  </si>
  <si>
    <t>95,00</t>
  </si>
  <si>
    <t>140,0</t>
  </si>
  <si>
    <t>1. Скиба Сергей</t>
  </si>
  <si>
    <t>Мастера 40 - 44 (01.02.1977)/42</t>
  </si>
  <si>
    <t>98,70</t>
  </si>
  <si>
    <t>155,0</t>
  </si>
  <si>
    <t>165,0</t>
  </si>
  <si>
    <t>2. Сатышев Илдар</t>
  </si>
  <si>
    <t>Мастера 40 - 44 (20.09.1977)/42</t>
  </si>
  <si>
    <t>97,40</t>
  </si>
  <si>
    <t>145,0</t>
  </si>
  <si>
    <t>150,0</t>
  </si>
  <si>
    <t>ВЕСОВАЯ КАТЕГОРИЯ   110</t>
  </si>
  <si>
    <t>1. Минитаев Тимерлан</t>
  </si>
  <si>
    <t>Юноши 18 - 19 (12.04.2000)/19</t>
  </si>
  <si>
    <t>105,60</t>
  </si>
  <si>
    <t>75,0</t>
  </si>
  <si>
    <t>85,0</t>
  </si>
  <si>
    <t>95,0</t>
  </si>
  <si>
    <t>Главный судья:</t>
  </si>
  <si>
    <t>Главный секретарь:</t>
  </si>
  <si>
    <t>Старший судья:</t>
  </si>
  <si>
    <t>Боковой судья: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</si>
  <si>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</si>
  <si>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</si>
  <si>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</si>
  <si>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</si>
  <si>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</si>
  <si>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</si>
  <si>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</si>
  <si>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</si>
  <si>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48</t>
  </si>
  <si>
    <t>60</t>
  </si>
  <si>
    <t xml:space="preserve">Мужчины </t>
  </si>
  <si>
    <t>82.5</t>
  </si>
  <si>
    <t xml:space="preserve">Юниоры </t>
  </si>
  <si>
    <t xml:space="preserve">Юниоры 20 - 23 </t>
  </si>
  <si>
    <t>100</t>
  </si>
  <si>
    <t>90</t>
  </si>
  <si>
    <t xml:space="preserve">Мастера </t>
  </si>
  <si>
    <t xml:space="preserve">Мастера 60 - 64 </t>
  </si>
  <si>
    <t>Результат</t>
  </si>
  <si>
    <t>Кубок Западной Сибири по силовым видам спорта "БИТВА ВАРЯГОВ 2"
ПРО военный жим
Омск/Омская область ноября 2019 г.</t>
  </si>
  <si>
    <t>1. Фомбаров Александр</t>
  </si>
  <si>
    <t>Открытая (27.12.1989)/29</t>
  </si>
  <si>
    <t>89,15</t>
  </si>
  <si>
    <t xml:space="preserve">Большеречье/Омская область </t>
  </si>
  <si>
    <t>157,5</t>
  </si>
  <si>
    <t>Кубок Западной Сибири по силовым видам спорта "БИТВА ВАРЯГОВ 2"
Любители жим лежа без экипировки
Омск/Омская область ноября 2019 г.</t>
  </si>
  <si>
    <t>Иванова Елена</t>
  </si>
  <si>
    <t>1. Иванова Елена</t>
  </si>
  <si>
    <t>Девушки 0-13 (14.12.2005)/13</t>
  </si>
  <si>
    <t>47,00</t>
  </si>
  <si>
    <t xml:space="preserve">НСО усть-Тарский с. Яркуль/ </t>
  </si>
  <si>
    <t>50,0</t>
  </si>
  <si>
    <t>55,0</t>
  </si>
  <si>
    <t>57,5</t>
  </si>
  <si>
    <t>1. Такмакова Ксения</t>
  </si>
  <si>
    <t>Юниорки 20 - 23 (09.03.1997)/22</t>
  </si>
  <si>
    <t>46,90</t>
  </si>
  <si>
    <t>Мишагина Елена</t>
  </si>
  <si>
    <t>1. Мишагина Елена</t>
  </si>
  <si>
    <t>Открытая (05.08.1988)/31</t>
  </si>
  <si>
    <t>62,5</t>
  </si>
  <si>
    <t>65,0</t>
  </si>
  <si>
    <t>1. Дудинская Ирина</t>
  </si>
  <si>
    <t>Открытая (12.09.1983)/36</t>
  </si>
  <si>
    <t>51,60</t>
  </si>
  <si>
    <t>30,0</t>
  </si>
  <si>
    <t>32,5</t>
  </si>
  <si>
    <t>35,0</t>
  </si>
  <si>
    <t>1. Миронова Ксения</t>
  </si>
  <si>
    <t>Юниорки 20 - 23 (13.02.1996)/23</t>
  </si>
  <si>
    <t>55,55</t>
  </si>
  <si>
    <t>1. Шевченко Дарья</t>
  </si>
  <si>
    <t>Девушки 14-15 (24.03.2004)/15</t>
  </si>
  <si>
    <t>57,00</t>
  </si>
  <si>
    <t>60,0</t>
  </si>
  <si>
    <t>1. Мезёва Анна</t>
  </si>
  <si>
    <t>Открытая (19.09.1983)/36</t>
  </si>
  <si>
    <t>58,50</t>
  </si>
  <si>
    <t>2. Вдовенкова Анна</t>
  </si>
  <si>
    <t>Открытая (29.09.1988)/31</t>
  </si>
  <si>
    <t>59,75</t>
  </si>
  <si>
    <t xml:space="preserve">Степногорск/ </t>
  </si>
  <si>
    <t>ВЕСОВАЯ КАТЕГОРИЯ   67.5</t>
  </si>
  <si>
    <t>1. Долинина Надежда</t>
  </si>
  <si>
    <t>Открытая (14.02.1992)/27</t>
  </si>
  <si>
    <t>65,90</t>
  </si>
  <si>
    <t>70,0</t>
  </si>
  <si>
    <t>80,0</t>
  </si>
  <si>
    <t>1. Кляузер Светлана</t>
  </si>
  <si>
    <t>89,10</t>
  </si>
  <si>
    <t>Мастера 45 - 49 (03.03.1972)/47</t>
  </si>
  <si>
    <t>1. Юрченко ТимофейСергеевич</t>
  </si>
  <si>
    <t>Юноши 14-15 (19.07.2004)/15</t>
  </si>
  <si>
    <t>45,10</t>
  </si>
  <si>
    <t>1. Хоруженко Вадим</t>
  </si>
  <si>
    <t>Юноши 14-15 (25.02.2005)/14</t>
  </si>
  <si>
    <t>55,40</t>
  </si>
  <si>
    <t>67,5</t>
  </si>
  <si>
    <t>1. Первушин Александр</t>
  </si>
  <si>
    <t>Юноши 14-15 (12.02.2005)/14</t>
  </si>
  <si>
    <t>59,45</t>
  </si>
  <si>
    <t xml:space="preserve">Октябрьский/Челябинская область </t>
  </si>
  <si>
    <t>1. Корб Юрий</t>
  </si>
  <si>
    <t>Юноши 16 - 17 (09.09.2002)/17</t>
  </si>
  <si>
    <t>56,80</t>
  </si>
  <si>
    <t>77,5</t>
  </si>
  <si>
    <t>1. Науман Юрий</t>
  </si>
  <si>
    <t>Открытая (13.05.1986)/33</t>
  </si>
  <si>
    <t>127,5</t>
  </si>
  <si>
    <t>135,0</t>
  </si>
  <si>
    <t>Кищенко Валерий</t>
  </si>
  <si>
    <t>2. Кищенко Валерий</t>
  </si>
  <si>
    <t>Открытая (25.03.1995)/24</t>
  </si>
  <si>
    <t>59,15</t>
  </si>
  <si>
    <t>1. Галин Данил</t>
  </si>
  <si>
    <t>Юноши 14-15 (11.01.2005)/14</t>
  </si>
  <si>
    <t>64,80</t>
  </si>
  <si>
    <t>ВЕСОВАЯ КАТЕГОРИЯ   75</t>
  </si>
  <si>
    <t>Щипанов Александр</t>
  </si>
  <si>
    <t>1. Щипанов Александр</t>
  </si>
  <si>
    <t>Юноши 16 - 17 (27.04.2002)/17</t>
  </si>
  <si>
    <t>73,20</t>
  </si>
  <si>
    <t>1. Воронин Антон</t>
  </si>
  <si>
    <t>Открытая (06.10.1991)/28</t>
  </si>
  <si>
    <t>74,55</t>
  </si>
  <si>
    <t>2. Степанников Михаил</t>
  </si>
  <si>
    <t>Открытая (17.02.1983)/36</t>
  </si>
  <si>
    <t>72,45</t>
  </si>
  <si>
    <t>105,0</t>
  </si>
  <si>
    <t>112,5</t>
  </si>
  <si>
    <t>3. Гармашов Сергей</t>
  </si>
  <si>
    <t>Открытая (14.09.1985)/34</t>
  </si>
  <si>
    <t>73,00</t>
  </si>
  <si>
    <t>107,5</t>
  </si>
  <si>
    <t>110,0</t>
  </si>
  <si>
    <t>4. Колотилин Константин</t>
  </si>
  <si>
    <t>Открытая (13.06.1994)/25</t>
  </si>
  <si>
    <t>74,75</t>
  </si>
  <si>
    <t>5. Шихов Наиль</t>
  </si>
  <si>
    <t>Открытая (02.11.1991)/27</t>
  </si>
  <si>
    <t>1. Хода Сергей</t>
  </si>
  <si>
    <t>Мастера 50 - 54 (10.08.1967)/52</t>
  </si>
  <si>
    <t>74,70</t>
  </si>
  <si>
    <t xml:space="preserve">Барабинск/Новосибирская область </t>
  </si>
  <si>
    <t>90,0</t>
  </si>
  <si>
    <t>Закусов Николай</t>
  </si>
  <si>
    <t>1. Закусов Николай</t>
  </si>
  <si>
    <t>Юноши 16 - 17 (08.01.2002)/17</t>
  </si>
  <si>
    <t>79,45</t>
  </si>
  <si>
    <t>137,5</t>
  </si>
  <si>
    <t>Митраков Константин</t>
  </si>
  <si>
    <t>1. Митраков Константин</t>
  </si>
  <si>
    <t>Юниоры 20 - 23 (17.11.1995)/23</t>
  </si>
  <si>
    <t>80,25</t>
  </si>
  <si>
    <t>Егоров Федор</t>
  </si>
  <si>
    <t>1. Егоров Федор</t>
  </si>
  <si>
    <t>Открытая (27.02.1977)/42</t>
  </si>
  <si>
    <t>80,80</t>
  </si>
  <si>
    <t>170,0</t>
  </si>
  <si>
    <t>175,0</t>
  </si>
  <si>
    <t>177,5</t>
  </si>
  <si>
    <t>2. Павлов Иван</t>
  </si>
  <si>
    <t>Открытая (15.03.1992)/27</t>
  </si>
  <si>
    <t>147,5</t>
  </si>
  <si>
    <t>3. Сафронов Александр</t>
  </si>
  <si>
    <t>Открытая (01.09.1990)/29</t>
  </si>
  <si>
    <t>77,40</t>
  </si>
  <si>
    <t>4. Зыков Артём</t>
  </si>
  <si>
    <t>Открытая (19.06.1994)/25</t>
  </si>
  <si>
    <t>79,90</t>
  </si>
  <si>
    <t>5. Горяев Михаил</t>
  </si>
  <si>
    <t>Открытая (06.01.1987)/32</t>
  </si>
  <si>
    <t>79,95</t>
  </si>
  <si>
    <t>Мастера 40 - 44 (27.02.1977)/42</t>
  </si>
  <si>
    <t>1. Хакимов Рамиль</t>
  </si>
  <si>
    <t>Мастера 45 - 49 (16.12.1971)/47</t>
  </si>
  <si>
    <t>80,65</t>
  </si>
  <si>
    <t>1. Андрийчук Дмитрий</t>
  </si>
  <si>
    <t>Юниоры 20 - 23 (03.01.1997)/22</t>
  </si>
  <si>
    <t>88,15</t>
  </si>
  <si>
    <t>1. Ляшенко Александр</t>
  </si>
  <si>
    <t>Открытая (06.07.1991)/28</t>
  </si>
  <si>
    <t>89,70</t>
  </si>
  <si>
    <t>182,5</t>
  </si>
  <si>
    <t>185,0</t>
  </si>
  <si>
    <t>2. Павлов Станислав</t>
  </si>
  <si>
    <t>Открытая (27.10.1985)/34</t>
  </si>
  <si>
    <t>89,50</t>
  </si>
  <si>
    <t>160,0</t>
  </si>
  <si>
    <t>3. Масёров Никита</t>
  </si>
  <si>
    <t>Открытая (07.09.1995)/24</t>
  </si>
  <si>
    <t>89,65</t>
  </si>
  <si>
    <t>4. Мыльников Александр</t>
  </si>
  <si>
    <t>Открытая (01.11.1986)/33</t>
  </si>
  <si>
    <t>85,50</t>
  </si>
  <si>
    <t>5. Жерженов Владимир</t>
  </si>
  <si>
    <t>Открытая (14.07.1992)/27</t>
  </si>
  <si>
    <t>87,60</t>
  </si>
  <si>
    <t>6. Нагин Александр</t>
  </si>
  <si>
    <t>Открытая (15.11.1992)/26</t>
  </si>
  <si>
    <t>87,95</t>
  </si>
  <si>
    <t>-. Ламбин Сергей</t>
  </si>
  <si>
    <t>Открытая (01.07.1987)/32</t>
  </si>
  <si>
    <t>89,40</t>
  </si>
  <si>
    <t>1. Тютьев Игорь</t>
  </si>
  <si>
    <t>Мастера 40 - 44 (19.12.1976)/42</t>
  </si>
  <si>
    <t>89,55</t>
  </si>
  <si>
    <t>-. Мирошников Дмитрий</t>
  </si>
  <si>
    <t>Мастера 40 - 44 (20.05.1976)/43</t>
  </si>
  <si>
    <t>1. Паньков Геннадий</t>
  </si>
  <si>
    <t>Мастера 45 - 49 (30.08.1971)/48</t>
  </si>
  <si>
    <t>87,45</t>
  </si>
  <si>
    <t>162,5</t>
  </si>
  <si>
    <t>2. Карпеев Владимир</t>
  </si>
  <si>
    <t>Мастера 45 - 49 (22.04.1972)/47</t>
  </si>
  <si>
    <t>88,30</t>
  </si>
  <si>
    <t>Лыжин Игорь</t>
  </si>
  <si>
    <t>1. Лыжин Игорь</t>
  </si>
  <si>
    <t>Мастера 60 - 64 (19.06.1959)/60</t>
  </si>
  <si>
    <t>90,00</t>
  </si>
  <si>
    <t>2. Ильин Сергей</t>
  </si>
  <si>
    <t>Мастера 60 - 64 (01.06.1958)/61</t>
  </si>
  <si>
    <t>89,90</t>
  </si>
  <si>
    <t>1. Чернушенко Леонид</t>
  </si>
  <si>
    <t>Мастера 65 - 69 (22.08.1952)/67</t>
  </si>
  <si>
    <t>88,35</t>
  </si>
  <si>
    <t>1. Турцын Анатолий</t>
  </si>
  <si>
    <t>Открытая (20.11.1982)/36</t>
  </si>
  <si>
    <t>97,35</t>
  </si>
  <si>
    <t>187,5</t>
  </si>
  <si>
    <t>Сулейменов Виталий</t>
  </si>
  <si>
    <t>2. Сулейменов Виталий</t>
  </si>
  <si>
    <t>Открытая (17.02.1982)/37</t>
  </si>
  <si>
    <t>94,50</t>
  </si>
  <si>
    <t xml:space="preserve">Кзылтуское с./ </t>
  </si>
  <si>
    <t>3. Шкурко Андрей</t>
  </si>
  <si>
    <t>Открытая (23.05.1986)/33</t>
  </si>
  <si>
    <t>97,25</t>
  </si>
  <si>
    <t>167,5</t>
  </si>
  <si>
    <t>1. Болдин Сергей</t>
  </si>
  <si>
    <t>Мастера 45 - 49 (31.05.1971)/48</t>
  </si>
  <si>
    <t>90,35</t>
  </si>
  <si>
    <t>1. Мамаев Владимир</t>
  </si>
  <si>
    <t>Открытая (19.08.1991)/28</t>
  </si>
  <si>
    <t>108,45</t>
  </si>
  <si>
    <t xml:space="preserve">Нурсултан/ </t>
  </si>
  <si>
    <t>172,5</t>
  </si>
  <si>
    <t>1. Козырев Анатолий</t>
  </si>
  <si>
    <t>Мастера 40 - 44 (27.08.1977)/42</t>
  </si>
  <si>
    <t>108,30</t>
  </si>
  <si>
    <t>1. Кидалов Максим</t>
  </si>
  <si>
    <t>Мастера 45 - 49 (26.05.1974)/45</t>
  </si>
  <si>
    <t>107,90</t>
  </si>
  <si>
    <t>152,5</t>
  </si>
  <si>
    <t>ВЕСОВАЯ КАТЕГОРИЯ   125</t>
  </si>
  <si>
    <t>Царев Игорь</t>
  </si>
  <si>
    <t>1. Царев Игорь</t>
  </si>
  <si>
    <t>Открытая (11.09.1983)/36</t>
  </si>
  <si>
    <t>114,00</t>
  </si>
  <si>
    <t>ВЕСОВАЯ КАТЕГОРИЯ   140</t>
  </si>
  <si>
    <t>1. Храпузов Артём</t>
  </si>
  <si>
    <t>Юниоры 20 - 23 (22.05.1996)/23</t>
  </si>
  <si>
    <t>136,80</t>
  </si>
  <si>
    <t>Першин Игорь</t>
  </si>
  <si>
    <t>1. Першин Игорь</t>
  </si>
  <si>
    <t>Открытая (10.04.1987)/32</t>
  </si>
  <si>
    <t>138,50</t>
  </si>
  <si>
    <t>230,0</t>
  </si>
  <si>
    <t>245,0</t>
  </si>
  <si>
    <t>250,0</t>
  </si>
  <si>
    <t>ВЕСОВАЯ КАТЕГОРИЯ   140+</t>
  </si>
  <si>
    <t>Доценко Павел</t>
  </si>
  <si>
    <t>1. Доценко Павел</t>
  </si>
  <si>
    <t>Открытая (06.03.1984)/35</t>
  </si>
  <si>
    <t>141,00</t>
  </si>
  <si>
    <t>200,0</t>
  </si>
  <si>
    <t>215,0</t>
  </si>
  <si>
    <t>225,0</t>
  </si>
  <si>
    <t>65,8688</t>
  </si>
  <si>
    <t>75</t>
  </si>
  <si>
    <t>102,4229</t>
  </si>
  <si>
    <t>89,3084</t>
  </si>
  <si>
    <t>88,4100</t>
  </si>
  <si>
    <t>140</t>
  </si>
  <si>
    <t>123,7618</t>
  </si>
  <si>
    <t>140+</t>
  </si>
  <si>
    <t>113,0400</t>
  </si>
  <si>
    <t>111,5410</t>
  </si>
  <si>
    <t>125</t>
  </si>
  <si>
    <t>154,0510</t>
  </si>
  <si>
    <t>Кубок Западной Сибири по силовым видам спорта "БИТВА ВАРЯГОВ 2"
ПРО жим лежа без экипировки
Омск/Омская область ноября 2019 г.</t>
  </si>
  <si>
    <t>1. Абишева Нелля</t>
  </si>
  <si>
    <t>Открытая (09.04.1989)/30</t>
  </si>
  <si>
    <t>63,05</t>
  </si>
  <si>
    <t xml:space="preserve">Экибастуз/ </t>
  </si>
  <si>
    <t>1. Голубева Лидия</t>
  </si>
  <si>
    <t>Открытая (13.10.1995)/24</t>
  </si>
  <si>
    <t>68,30</t>
  </si>
  <si>
    <t>72,5</t>
  </si>
  <si>
    <t>1. Гуляко Евгений</t>
  </si>
  <si>
    <t>Открытая (13.08.1994)/25</t>
  </si>
  <si>
    <t>79,60</t>
  </si>
  <si>
    <t>Кузембаев Мирхан</t>
  </si>
  <si>
    <t>1. Кузембаев Мирхан</t>
  </si>
  <si>
    <t>Открытая (13.09.1986)/33</t>
  </si>
  <si>
    <t xml:space="preserve">Астана/ </t>
  </si>
  <si>
    <t>190,0</t>
  </si>
  <si>
    <t>210,0</t>
  </si>
  <si>
    <t>2. Фомбаров Александр</t>
  </si>
  <si>
    <t>1. Смирнов Александр</t>
  </si>
  <si>
    <t>Мастера 40 - 44 (27.03.1978)/41</t>
  </si>
  <si>
    <t>99,50</t>
  </si>
  <si>
    <t>180,0</t>
  </si>
  <si>
    <t>Хван Геннадий</t>
  </si>
  <si>
    <t>1. Хван Геннадий</t>
  </si>
  <si>
    <t>Мастера 60 - 64 (23.02.1958)/61</t>
  </si>
  <si>
    <t>99,00</t>
  </si>
  <si>
    <t>Ильин Евгений</t>
  </si>
  <si>
    <t>1. Ильин Евгений</t>
  </si>
  <si>
    <t>Открытая (01.09.1986)/33</t>
  </si>
  <si>
    <t>118,85</t>
  </si>
  <si>
    <t>237,5</t>
  </si>
  <si>
    <t>2. Рязанов Алексей</t>
  </si>
  <si>
    <t>Открытая (30.08.1984)/35</t>
  </si>
  <si>
    <t>117,10</t>
  </si>
  <si>
    <t>129,3723</t>
  </si>
  <si>
    <t>117,4600</t>
  </si>
  <si>
    <t>Кубок Западной Сибири по силовым видам спорта "БИТВА ВАРЯГОВ 2"
Любители становая тяга без экипировки
Омск/Омская область ноября 2019 г.</t>
  </si>
  <si>
    <t>Становая тяга</t>
  </si>
  <si>
    <t>1. Хода Владислава</t>
  </si>
  <si>
    <t>51,80</t>
  </si>
  <si>
    <t>100,0</t>
  </si>
  <si>
    <t>1. Усатая Олеся</t>
  </si>
  <si>
    <t>55,25</t>
  </si>
  <si>
    <t xml:space="preserve">1. Резник </t>
  </si>
  <si>
    <t>59,50</t>
  </si>
  <si>
    <t>58,70</t>
  </si>
  <si>
    <t>1. Есаулова Евгения</t>
  </si>
  <si>
    <t>72,00</t>
  </si>
  <si>
    <t>1. Гришин Михаил</t>
  </si>
  <si>
    <t>Юноши 16 - 17 (23.06.2003)/16</t>
  </si>
  <si>
    <t>2. Тренин Евгений</t>
  </si>
  <si>
    <t>Юноши 16 - 17 (18.06.2002)/17</t>
  </si>
  <si>
    <t>88,20</t>
  </si>
  <si>
    <t>192,5</t>
  </si>
  <si>
    <t>197,5</t>
  </si>
  <si>
    <t>205,0</t>
  </si>
  <si>
    <t>1. Карбушев Игорь</t>
  </si>
  <si>
    <t>Юниоры 20 - 23 (27.08.1997)/22</t>
  </si>
  <si>
    <t>240,0</t>
  </si>
  <si>
    <t>1. Жерженов Владимир</t>
  </si>
  <si>
    <t>220,0</t>
  </si>
  <si>
    <t>1. Озюменко Артём</t>
  </si>
  <si>
    <t>Юноши 16 - 17 (10.10.2002)/17</t>
  </si>
  <si>
    <t>94,10</t>
  </si>
  <si>
    <t>195,0</t>
  </si>
  <si>
    <t>1. Сулейменов Виталий</t>
  </si>
  <si>
    <t>235,0</t>
  </si>
  <si>
    <t>260,0</t>
  </si>
  <si>
    <t>270,0</t>
  </si>
  <si>
    <t>2. Бондарь Алексей</t>
  </si>
  <si>
    <t>Открытая (04.03.1991)/28</t>
  </si>
  <si>
    <t>95,80</t>
  </si>
  <si>
    <t>1. Тимаков Вячеслов</t>
  </si>
  <si>
    <t>Открытая (29.04.1991)/28</t>
  </si>
  <si>
    <t>109,40</t>
  </si>
  <si>
    <t>242,5</t>
  </si>
  <si>
    <t>257,5</t>
  </si>
  <si>
    <t>122,1915</t>
  </si>
  <si>
    <t>110,2645</t>
  </si>
  <si>
    <t>106,0407</t>
  </si>
  <si>
    <t>104,3804</t>
  </si>
  <si>
    <t>90,3207</t>
  </si>
  <si>
    <t>Казакова Виктория</t>
  </si>
  <si>
    <t>137,8400</t>
  </si>
  <si>
    <t>Ульданова Диана</t>
  </si>
  <si>
    <t>133,4395</t>
  </si>
  <si>
    <t>Резина Анна</t>
  </si>
  <si>
    <t>124,7707</t>
  </si>
  <si>
    <t>117,6120</t>
  </si>
  <si>
    <t>108,7957</t>
  </si>
  <si>
    <t>104,0400</t>
  </si>
  <si>
    <t>141,5595</t>
  </si>
  <si>
    <t>139,5946</t>
  </si>
  <si>
    <t>131,2139</t>
  </si>
  <si>
    <t>109,7388</t>
  </si>
  <si>
    <t>Капанин Сергей</t>
  </si>
  <si>
    <t>147,8511</t>
  </si>
  <si>
    <t>147,8074</t>
  </si>
  <si>
    <t>129,4584</t>
  </si>
  <si>
    <t>Шелег Кирилл</t>
  </si>
  <si>
    <t>252,5</t>
  </si>
  <si>
    <t>157,4337</t>
  </si>
  <si>
    <t>153,7380</t>
  </si>
  <si>
    <t>Рябчук Олег</t>
  </si>
  <si>
    <t>145,5355</t>
  </si>
  <si>
    <t>136,8682</t>
  </si>
  <si>
    <t>136,5812</t>
  </si>
  <si>
    <t>135,7800</t>
  </si>
  <si>
    <t>125,3600</t>
  </si>
  <si>
    <t>119,9250</t>
  </si>
  <si>
    <t>118,7812</t>
  </si>
  <si>
    <t>Кубок Западной Сибири по силовым видам спорта "БИТВА ВАРЯГОВ 2"
ПРО становая тяга без экипировки
Омск/Омская область ноября 2019 г.</t>
  </si>
  <si>
    <t>47,9</t>
  </si>
  <si>
    <t>1,0361</t>
  </si>
  <si>
    <t>85</t>
  </si>
  <si>
    <t>95</t>
  </si>
  <si>
    <t>105</t>
  </si>
  <si>
    <t>Девушки 16-17 (26.05.2002)/17</t>
  </si>
  <si>
    <t>51,3</t>
  </si>
  <si>
    <t>0,9801</t>
  </si>
  <si>
    <t>Девушки 18-19 (17.08.2001)/18</t>
  </si>
  <si>
    <t>Мастера 40-44 (09.10.1979)/40</t>
  </si>
  <si>
    <t>1. Муткова Елизавета</t>
  </si>
  <si>
    <t>Юниорки 20-23 (12.09.1999)/20</t>
  </si>
  <si>
    <t xml:space="preserve">1. Шевченко Дарья </t>
  </si>
  <si>
    <t>0,8986</t>
  </si>
  <si>
    <t>1. Казакова Виктория</t>
  </si>
  <si>
    <t>2. Ульданова Диана</t>
  </si>
  <si>
    <t>3. Курбанова Олеся</t>
  </si>
  <si>
    <t>Открытая (02.05.1992)/27</t>
  </si>
  <si>
    <t>Открытая (18.12.1991)/27</t>
  </si>
  <si>
    <t>Открытая (13.02.1991)/28</t>
  </si>
  <si>
    <t>59,95</t>
  </si>
  <si>
    <t>60,00</t>
  </si>
  <si>
    <t>0,8615</t>
  </si>
  <si>
    <t>0,8609</t>
  </si>
  <si>
    <t>0,8670</t>
  </si>
  <si>
    <t>167,5,0</t>
  </si>
  <si>
    <t>155,00</t>
  </si>
  <si>
    <t>120,00</t>
  </si>
  <si>
    <t>Девушки 16-17 (14.02.2002)/17</t>
  </si>
  <si>
    <t xml:space="preserve">1. Резина Анна </t>
  </si>
  <si>
    <t>Открытая (16.11.1985)/33</t>
  </si>
  <si>
    <t>71,80</t>
  </si>
  <si>
    <t>0,7449</t>
  </si>
  <si>
    <t>1. Чехомов Алексей</t>
  </si>
  <si>
    <t>Юноши 14-15 (12.08.2004)/15</t>
  </si>
  <si>
    <t>48,70</t>
  </si>
  <si>
    <t>1,0287</t>
  </si>
  <si>
    <t>130,00</t>
  </si>
  <si>
    <t>115,00</t>
  </si>
  <si>
    <t>Кубок Западной Сибири по силовым видам спорта "БИТВА ВАРЯГОВ 2"
Одиночный подъём штанги на бицепс Профессионалы
Омск/Омская область ноября 2019 г.</t>
  </si>
  <si>
    <t>Подъем на бицепс</t>
  </si>
  <si>
    <t>-. Кузнецов Станислав</t>
  </si>
  <si>
    <t>Юниоры 20 - 23 (01.11.1996)/23</t>
  </si>
  <si>
    <t>96,90</t>
  </si>
  <si>
    <t>1. Латышев Николай</t>
  </si>
  <si>
    <t>Открытая (31.07.1995)/24</t>
  </si>
  <si>
    <t>98,60</t>
  </si>
  <si>
    <t>1. Носарев Георгий</t>
  </si>
  <si>
    <t>Открытая (09.05.1983)/36</t>
  </si>
  <si>
    <t>108,75</t>
  </si>
  <si>
    <t>82,5</t>
  </si>
  <si>
    <t>Девушки 16 - 17 (26.05.2002)/17</t>
  </si>
  <si>
    <t>20,0</t>
  </si>
  <si>
    <t>22,5</t>
  </si>
  <si>
    <t>1. Кищенко Валерий</t>
  </si>
  <si>
    <t>2. Буниатян Вреж</t>
  </si>
  <si>
    <t>Открытая (12.02.1995)/24</t>
  </si>
  <si>
    <t xml:space="preserve">Ереван/ </t>
  </si>
  <si>
    <t>1. Мамедов Сахиль</t>
  </si>
  <si>
    <t>Юноши 18 - 19 (08.12.1999)/19</t>
  </si>
  <si>
    <t>74,60</t>
  </si>
  <si>
    <t>52,5</t>
  </si>
  <si>
    <t>1. Подхалюзин Иван</t>
  </si>
  <si>
    <t>Юниоры 20 - 23 (15.09.1999)/20</t>
  </si>
  <si>
    <t>74,00</t>
  </si>
  <si>
    <t>2. Жоров Иван</t>
  </si>
  <si>
    <t>Юниоры 20 - 23 (20.11.1996)/22</t>
  </si>
  <si>
    <t>71,90</t>
  </si>
  <si>
    <t>2. Артемом Тарас</t>
  </si>
  <si>
    <t>Открытая (20.02.1990)/29</t>
  </si>
  <si>
    <t>73,30</t>
  </si>
  <si>
    <t xml:space="preserve">Барнаул/Алтайский край </t>
  </si>
  <si>
    <t>1. Усачев Виктор</t>
  </si>
  <si>
    <t>Мастера 60 - 64 (07.11.1956)/62</t>
  </si>
  <si>
    <t>74,40</t>
  </si>
  <si>
    <t>Гехт Эдуард</t>
  </si>
  <si>
    <t>1. Гехт Эдуард</t>
  </si>
  <si>
    <t>Юниоры 20 - 23 (15.06.1998)/21</t>
  </si>
  <si>
    <t>2. Клеутин Владислав</t>
  </si>
  <si>
    <t>Юниоры 20 - 23 (27.03.1998)/21</t>
  </si>
  <si>
    <t>76,00</t>
  </si>
  <si>
    <t>1. Горяев Михаил</t>
  </si>
  <si>
    <t>2. Алексеенко Вадим</t>
  </si>
  <si>
    <t>Открытая (07.01.1989)/30</t>
  </si>
  <si>
    <t>81,65</t>
  </si>
  <si>
    <t>3. Павлов Иван</t>
  </si>
  <si>
    <t>4. Фадин Антон</t>
  </si>
  <si>
    <t>Открытая (21.12.1985)/33</t>
  </si>
  <si>
    <t>81,90</t>
  </si>
  <si>
    <t>5. Кремлев Игорь</t>
  </si>
  <si>
    <t>Открытая (18.06.1980)/39</t>
  </si>
  <si>
    <t>81,95</t>
  </si>
  <si>
    <t>1. Баев Михаил</t>
  </si>
  <si>
    <t>Мастера 60 - 64 (15.12.1957)/61</t>
  </si>
  <si>
    <t>81,00</t>
  </si>
  <si>
    <t>1. Шулеко Егор</t>
  </si>
  <si>
    <t>Юноши 16 - 17 (27.07.2002)/17</t>
  </si>
  <si>
    <t>87,50</t>
  </si>
  <si>
    <t>1. Нагин Александр</t>
  </si>
  <si>
    <t>2. Ламбин Сергей</t>
  </si>
  <si>
    <t>47,8852</t>
  </si>
  <si>
    <t>51,5594</t>
  </si>
  <si>
    <t>Кубок Западной Сибири по силовым видам спорта "БИТВА ВАРЯГОВ 2"
Одиночный подъём штанги на бицепс Любители
Омск/Омская область ноября 2019 г.</t>
  </si>
  <si>
    <t>1. Калинин Александр</t>
  </si>
  <si>
    <t>74,90</t>
  </si>
  <si>
    <t>0,6652</t>
  </si>
  <si>
    <t>220,00</t>
  </si>
  <si>
    <t>Юниоры 20-23 (16.07.1997)/22</t>
  </si>
  <si>
    <t>Юниоры 20-23 (28.01.1999)/20</t>
  </si>
  <si>
    <t>0,6676</t>
  </si>
  <si>
    <t>215,00</t>
  </si>
  <si>
    <t>150,00</t>
  </si>
  <si>
    <t>Юниоры 20-23 (15.09.1998)/21</t>
  </si>
  <si>
    <t>2. Капанин Сергей</t>
  </si>
  <si>
    <t>3. Маматулин Инар</t>
  </si>
  <si>
    <t>74,50</t>
  </si>
  <si>
    <t>0,6680</t>
  </si>
  <si>
    <t>190,00</t>
  </si>
  <si>
    <t>2. Колотилин Константин</t>
  </si>
  <si>
    <t>205,00</t>
  </si>
  <si>
    <t>3. Левашов Константин</t>
  </si>
  <si>
    <t>Открытая (05.08.1985)/34</t>
  </si>
  <si>
    <t>0,6789</t>
  </si>
  <si>
    <t>200,00</t>
  </si>
  <si>
    <t>4. Шихов Наиль</t>
  </si>
  <si>
    <t>180,00</t>
  </si>
  <si>
    <t>1. Шелег Кирилл</t>
  </si>
  <si>
    <t>Открытая (24.06.1994)/25</t>
  </si>
  <si>
    <t>81,70</t>
  </si>
  <si>
    <t>0,6235</t>
  </si>
  <si>
    <t>247,5</t>
  </si>
  <si>
    <t>252,50</t>
  </si>
  <si>
    <t>2. Рябчуг Олег</t>
  </si>
  <si>
    <t>Открытая (29.07.1987)/32</t>
  </si>
  <si>
    <t>0,6193</t>
  </si>
  <si>
    <t>227,5</t>
  </si>
  <si>
    <t>235,00</t>
  </si>
  <si>
    <t>3. Первушин Сергей</t>
  </si>
  <si>
    <t>Открытая (06.07.1987)/32</t>
  </si>
  <si>
    <t>81,10</t>
  </si>
  <si>
    <t>0,6268</t>
  </si>
  <si>
    <t>187,50</t>
  </si>
  <si>
    <t>Курочкин Евгений</t>
  </si>
  <si>
    <t>Репетиева Евгения</t>
  </si>
  <si>
    <t>Пахомова Валерия</t>
  </si>
  <si>
    <t>116,8650</t>
  </si>
  <si>
    <t>Открытая (23.02.1958)/61</t>
  </si>
  <si>
    <t>60,3400</t>
  </si>
  <si>
    <t>Жим мн. повт.</t>
  </si>
  <si>
    <t>Повторы</t>
  </si>
  <si>
    <t>Тоннаж</t>
  </si>
  <si>
    <t>Вес</t>
  </si>
  <si>
    <t>Открытая(27.12.1989)/29</t>
  </si>
  <si>
    <t>1. Евгений Серебренников</t>
  </si>
  <si>
    <t>Открытая(4.04.1983)/37</t>
  </si>
  <si>
    <t>Открытая (9.05.1984)36</t>
  </si>
  <si>
    <t>ВЕСОВАЯ КАТЕГОРИЯ   до 56кг</t>
  </si>
  <si>
    <t>Жарова Виктория</t>
  </si>
  <si>
    <t>Открытая(12.03.1981)/38</t>
  </si>
  <si>
    <t>Русский жим 35кг Любители (Женщины)</t>
  </si>
  <si>
    <t>ветераны 60-64(7.11.1956)/63</t>
  </si>
  <si>
    <t>ВЕСОВАЯ КАТЕГОРИЯ   82,5</t>
  </si>
  <si>
    <t>1. Лобов Иван</t>
  </si>
  <si>
    <t>Открытая(7.09.1989)/30</t>
  </si>
  <si>
    <t xml:space="preserve">1. Илья Мартыневич </t>
  </si>
  <si>
    <t>Открытая(02.01.1988)/31</t>
  </si>
  <si>
    <t>2. Лотц Алексей</t>
  </si>
  <si>
    <t>Открытая(12.11.1986)/32</t>
  </si>
  <si>
    <t>1. Дмитрий Жаров</t>
  </si>
  <si>
    <t>Ветераны 40-44(8.10.1979)/40</t>
  </si>
  <si>
    <t xml:space="preserve">2. Игорь Коротеев </t>
  </si>
  <si>
    <t>Ветераны 40-44(23.11.1975)/43</t>
  </si>
  <si>
    <t>1. Рамиль Хакимов</t>
  </si>
  <si>
    <t>Ветераны 45-49(16.12.1971)/47</t>
  </si>
  <si>
    <t>1. Максим Екимов</t>
  </si>
  <si>
    <t>Открытая(21.09.1984)/35</t>
  </si>
  <si>
    <t>1. Селезнёв Александр</t>
  </si>
  <si>
    <t>Ветераны 60-64(20.02.1956)/63</t>
  </si>
  <si>
    <t>1. Насыров Артем</t>
  </si>
  <si>
    <t>юниоры 20-23(15.10.1976)22</t>
  </si>
  <si>
    <t>Русский жим 55кг Любители (Мужчины)</t>
  </si>
  <si>
    <t xml:space="preserve">Русский жим 75 кг Профессионалы (Мужчины)
</t>
  </si>
  <si>
    <t xml:space="preserve">Русский жим 125кг Професилналы (Мужчины)
</t>
  </si>
  <si>
    <t>ВЕСОВАЯ КАТЕГОРИЯ  75</t>
  </si>
  <si>
    <t>1. Шихов Наиль</t>
  </si>
  <si>
    <t>Открытая(01.11.1991)28</t>
  </si>
  <si>
    <t>Русский жим 75кг Любители (Мужчины)</t>
  </si>
  <si>
    <t xml:space="preserve">1. Кайсин Александр </t>
  </si>
  <si>
    <t>Открытая (19.01.1983)36</t>
  </si>
  <si>
    <t>1. Евгений Коновальчук</t>
  </si>
  <si>
    <t>Ветераны 40-44 (11.05.1976)/43</t>
  </si>
  <si>
    <t>Русский жим 100кг Любители (Мужчины)</t>
  </si>
  <si>
    <t>НАП Н.Ж.</t>
  </si>
  <si>
    <t>ВЕСОВАЯ КАТЕГОРИЯ   60 Любители</t>
  </si>
  <si>
    <t>1. Абышев Тимур</t>
  </si>
  <si>
    <t>Юниоры 20-23(21.11.2019г)/23</t>
  </si>
  <si>
    <t>57,54</t>
  </si>
  <si>
    <t>0,9655</t>
  </si>
  <si>
    <t>37</t>
  </si>
  <si>
    <t>ВЕСОВАЯ КАТЕГОРИЯ   75 Любители</t>
  </si>
  <si>
    <t>1. Уразаев Андрей</t>
  </si>
  <si>
    <t>Открытая(19.04.1984)/35</t>
  </si>
  <si>
    <t>68,15</t>
  </si>
  <si>
    <t>0,8661</t>
  </si>
  <si>
    <t>27</t>
  </si>
  <si>
    <t xml:space="preserve">ВЕСОВАЯ КАТЕГОРИЯ   82,5 Любители </t>
  </si>
  <si>
    <t>1. Сергей Первушин</t>
  </si>
  <si>
    <t>Открытая (6.07.1987)/32</t>
  </si>
  <si>
    <t>81,1</t>
  </si>
  <si>
    <t>0,7694</t>
  </si>
  <si>
    <t>17</t>
  </si>
  <si>
    <t>ВЕСОВАЯ КАТЕГОРИЯ   100 Любители</t>
  </si>
  <si>
    <t>Открытая(17.02.1982)/37</t>
  </si>
  <si>
    <t>94,5</t>
  </si>
  <si>
    <t>0,7003</t>
  </si>
  <si>
    <t>22</t>
  </si>
  <si>
    <t>ВЕСОВАЯ КАТЕГОРИЯ  90 Профессионалы</t>
  </si>
  <si>
    <t xml:space="preserve">1. Фомбаров Александр </t>
  </si>
  <si>
    <t>0,7205</t>
  </si>
  <si>
    <t>19</t>
  </si>
  <si>
    <t>становая тяга мн. повт.</t>
  </si>
  <si>
    <t>ВЕСОВАЯ КАТЕГОРИЯ   до 48</t>
  </si>
  <si>
    <t>1. Оксана Артемьева</t>
  </si>
  <si>
    <t>Открытая(15.05.1987)/32</t>
  </si>
  <si>
    <t>ВЕСОВАЯ КАТЕГОРИЯ   до 52</t>
  </si>
  <si>
    <t>1. Владислава Хода</t>
  </si>
  <si>
    <t>подростки 16-17(26.05.2002)/17</t>
  </si>
  <si>
    <t>ВЕСОВАЯ КАТЕГОРИЯ   до 60</t>
  </si>
  <si>
    <t>1. Олеся Курбанова</t>
  </si>
  <si>
    <t>Открытая(12.02.1991)/28</t>
  </si>
  <si>
    <t>2. Валерия Пахомова</t>
  </si>
  <si>
    <t>Открытая(21.05.1987)/32</t>
  </si>
  <si>
    <t>Открытая(2.11.1991)/28</t>
  </si>
  <si>
    <t>2. Сергей Московский</t>
  </si>
  <si>
    <t>Открытая (8.06.1983)/36</t>
  </si>
  <si>
    <t>1. Тренин Евгений</t>
  </si>
  <si>
    <t>подростки 16-17(18.06.2002)/17</t>
  </si>
  <si>
    <t>100,1</t>
  </si>
  <si>
    <t>1. Ермаков Илья</t>
  </si>
  <si>
    <t>юноши 18-19(17.11.2000)/18</t>
  </si>
  <si>
    <t>1. Маланухин Андрей</t>
  </si>
  <si>
    <t>Открытая(16.08.1988)/31</t>
  </si>
  <si>
    <t>100,2</t>
  </si>
  <si>
    <t>Открытая(19.08.1991)/28</t>
  </si>
  <si>
    <t>Русская становая тяга 55кг Любители (Женщины)</t>
  </si>
  <si>
    <t>Русская становая тяга 100кг Любители (Мужчины)</t>
  </si>
  <si>
    <t>1. Игорь Карбушев</t>
  </si>
  <si>
    <t>Русская становая тяга 150кг Любители (Мужчины)</t>
  </si>
  <si>
    <t>ВЕСОВАЯ КАТЕГОРИЯ   до90</t>
  </si>
  <si>
    <t>Открытая</t>
  </si>
  <si>
    <t>Русская становая тяга 150кг Про (Мужчины)</t>
  </si>
  <si>
    <t>Кубок Западной Сибири по силовым видам спорта "БИТВА ВАРЯГОВ 2"
Русский жим. Люители и Про.
Омск/Омская область ноября 2019 г.</t>
  </si>
  <si>
    <t>Кубок Западной Сибири по силовым видам спорта "БИТВА ВАРЯГОВ 2"
Народный жим. Люители.
Омск/Омская область ноября 2019 г.</t>
  </si>
  <si>
    <t>Кубок Западной Сибири по силовым видам спорта "БИТВА ВАРЯГОВ 2"
Русская становая тяга. Люители и Про.
Омск/Омская область ноября 2019 г.</t>
  </si>
  <si>
    <t>Русская становая тяга 200кг Любители (Мужчины)</t>
  </si>
  <si>
    <t>очки</t>
  </si>
  <si>
    <t>ВЕСОВАЯ КАТЕГОРИЯ   67,5</t>
  </si>
  <si>
    <t>Долинина Надежда</t>
  </si>
  <si>
    <t>59,6513</t>
  </si>
  <si>
    <t>57.5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</si>
</sst>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sz val="11"/>
      <name val="Arial Cyr"/>
      <family val="0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/>
    </xf>
    <xf numFmtId="49" fontId="7" fillId="0" borderId="11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7" fillId="0" borderId="12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7" fillId="0" borderId="13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49" fontId="7" fillId="0" borderId="14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49" fontId="8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9" fillId="0" borderId="0" xfId="0" applyNumberFormat="1" applyFont="1" applyAlignment="1">
      <alignment horizontal="left" indent="1"/>
    </xf>
    <xf numFmtId="49" fontId="9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30" fillId="0" borderId="0" xfId="55">
      <alignment/>
      <protection/>
    </xf>
    <xf numFmtId="0" fontId="30" fillId="0" borderId="11" xfId="55" applyBorder="1" applyAlignment="1">
      <alignment wrapText="1"/>
      <protection/>
    </xf>
    <xf numFmtId="0" fontId="30" fillId="0" borderId="11" xfId="55" applyBorder="1">
      <alignment/>
      <protection/>
    </xf>
    <xf numFmtId="49" fontId="5" fillId="0" borderId="0" xfId="55" applyNumberFormat="1" applyFont="1" applyFill="1" applyBorder="1" applyAlignment="1">
      <alignment horizontal="left"/>
      <protection/>
    </xf>
    <xf numFmtId="49" fontId="30" fillId="0" borderId="0" xfId="55" applyNumberFormat="1" applyFont="1" applyFill="1" applyBorder="1" applyAlignment="1">
      <alignment horizontal="left"/>
      <protection/>
    </xf>
    <xf numFmtId="0" fontId="30" fillId="0" borderId="11" xfId="55" applyBorder="1">
      <alignment/>
      <protection/>
    </xf>
    <xf numFmtId="0" fontId="30" fillId="0" borderId="11" xfId="55" applyBorder="1" applyAlignment="1">
      <alignment horizontal="center"/>
      <protection/>
    </xf>
    <xf numFmtId="0" fontId="30" fillId="0" borderId="13" xfId="55" applyBorder="1" applyAlignment="1">
      <alignment wrapText="1"/>
      <protection/>
    </xf>
    <xf numFmtId="0" fontId="30" fillId="0" borderId="11" xfId="55" applyBorder="1" applyAlignment="1">
      <alignment wrapText="1"/>
      <protection/>
    </xf>
    <xf numFmtId="0" fontId="30" fillId="0" borderId="11" xfId="55" applyBorder="1">
      <alignment/>
      <protection/>
    </xf>
    <xf numFmtId="0" fontId="30" fillId="0" borderId="11" xfId="54" applyFont="1" applyBorder="1">
      <alignment/>
      <protection/>
    </xf>
    <xf numFmtId="0" fontId="30" fillId="33" borderId="11" xfId="54" applyFont="1" applyFill="1" applyBorder="1" applyAlignment="1">
      <alignment horizontal="center"/>
      <protection/>
    </xf>
    <xf numFmtId="0" fontId="30" fillId="0" borderId="11" xfId="55" applyBorder="1" applyAlignment="1">
      <alignment wrapText="1"/>
      <protection/>
    </xf>
    <xf numFmtId="0" fontId="30" fillId="0" borderId="11" xfId="55" applyBorder="1">
      <alignment/>
      <protection/>
    </xf>
    <xf numFmtId="0" fontId="30" fillId="33" borderId="11" xfId="55" applyFill="1" applyBorder="1">
      <alignment/>
      <protection/>
    </xf>
    <xf numFmtId="0" fontId="30" fillId="33" borderId="11" xfId="55" applyFill="1" applyBorder="1" applyAlignment="1">
      <alignment horizontal="center"/>
      <protection/>
    </xf>
    <xf numFmtId="0" fontId="30" fillId="33" borderId="11" xfId="55" applyFill="1" applyBorder="1" applyAlignment="1">
      <alignment wrapText="1"/>
      <protection/>
    </xf>
    <xf numFmtId="0" fontId="1" fillId="33" borderId="11" xfId="55" applyFont="1" applyFill="1" applyBorder="1" applyAlignment="1">
      <alignment horizontal="center"/>
      <protection/>
    </xf>
    <xf numFmtId="0" fontId="30" fillId="33" borderId="16" xfId="55" applyFill="1" applyBorder="1" applyAlignment="1">
      <alignment horizontal="center"/>
      <protection/>
    </xf>
    <xf numFmtId="0" fontId="30" fillId="0" borderId="16" xfId="55" applyBorder="1">
      <alignment/>
      <protection/>
    </xf>
    <xf numFmtId="0" fontId="30" fillId="0" borderId="17" xfId="55" applyBorder="1">
      <alignment/>
      <protection/>
    </xf>
    <xf numFmtId="0" fontId="30" fillId="33" borderId="18" xfId="55" applyFill="1" applyBorder="1">
      <alignment/>
      <protection/>
    </xf>
    <xf numFmtId="0" fontId="1" fillId="33" borderId="16" xfId="55" applyFont="1" applyFill="1" applyBorder="1" applyAlignment="1">
      <alignment horizontal="center"/>
      <protection/>
    </xf>
    <xf numFmtId="164" fontId="30" fillId="0" borderId="11" xfId="55" applyNumberFormat="1" applyBorder="1">
      <alignment/>
      <protection/>
    </xf>
    <xf numFmtId="0" fontId="30" fillId="33" borderId="0" xfId="55" applyFill="1" applyBorder="1" applyAlignment="1">
      <alignment horizontal="center"/>
      <protection/>
    </xf>
    <xf numFmtId="0" fontId="1" fillId="33" borderId="0" xfId="55" applyFont="1" applyFill="1" applyBorder="1" applyAlignment="1">
      <alignment horizontal="center"/>
      <protection/>
    </xf>
    <xf numFmtId="0" fontId="30" fillId="33" borderId="0" xfId="55" applyFill="1" applyBorder="1">
      <alignment/>
      <protection/>
    </xf>
    <xf numFmtId="0" fontId="30" fillId="0" borderId="11" xfId="55" applyBorder="1" applyAlignment="1">
      <alignment wrapText="1"/>
      <protection/>
    </xf>
    <xf numFmtId="0" fontId="30" fillId="0" borderId="11" xfId="55" applyBorder="1">
      <alignment/>
      <protection/>
    </xf>
    <xf numFmtId="0" fontId="30" fillId="0" borderId="11" xfId="55" applyBorder="1" applyAlignment="1">
      <alignment horizontal="center"/>
      <protection/>
    </xf>
    <xf numFmtId="0" fontId="30" fillId="0" borderId="0" xfId="55" applyBorder="1" applyAlignment="1">
      <alignment wrapText="1"/>
      <protection/>
    </xf>
    <xf numFmtId="0" fontId="30" fillId="0" borderId="0" xfId="55" applyBorder="1" applyAlignment="1">
      <alignment horizontal="center"/>
      <protection/>
    </xf>
    <xf numFmtId="0" fontId="30" fillId="0" borderId="0" xfId="55" applyBorder="1">
      <alignment/>
      <protection/>
    </xf>
    <xf numFmtId="0" fontId="30" fillId="0" borderId="11" xfId="55" applyBorder="1" applyAlignment="1">
      <alignment wrapText="1"/>
      <protection/>
    </xf>
    <xf numFmtId="0" fontId="30" fillId="0" borderId="11" xfId="55" applyBorder="1">
      <alignment/>
      <protection/>
    </xf>
    <xf numFmtId="0" fontId="30" fillId="0" borderId="11" xfId="55" applyBorder="1" applyAlignment="1">
      <alignment horizontal="center"/>
      <protection/>
    </xf>
    <xf numFmtId="0" fontId="30" fillId="33" borderId="11" xfId="55" applyFill="1" applyBorder="1">
      <alignment/>
      <protection/>
    </xf>
    <xf numFmtId="0" fontId="30" fillId="33" borderId="11" xfId="55" applyFill="1" applyBorder="1" applyAlignment="1">
      <alignment horizontal="center"/>
      <protection/>
    </xf>
    <xf numFmtId="0" fontId="30" fillId="33" borderId="11" xfId="55" applyFill="1" applyBorder="1" applyAlignment="1">
      <alignment wrapText="1"/>
      <protection/>
    </xf>
    <xf numFmtId="0" fontId="1" fillId="33" borderId="11" xfId="55" applyFont="1" applyFill="1" applyBorder="1" applyAlignment="1">
      <alignment horizontal="center"/>
      <protection/>
    </xf>
    <xf numFmtId="0" fontId="30" fillId="0" borderId="0" xfId="55" applyBorder="1">
      <alignment/>
      <protection/>
    </xf>
    <xf numFmtId="0" fontId="30" fillId="0" borderId="0" xfId="55">
      <alignment/>
      <protection/>
    </xf>
    <xf numFmtId="49" fontId="30" fillId="0" borderId="11" xfId="55" applyNumberFormat="1" applyBorder="1" applyAlignment="1">
      <alignment wrapText="1"/>
      <protection/>
    </xf>
    <xf numFmtId="49" fontId="30" fillId="0" borderId="11" xfId="54" applyNumberFormat="1" applyBorder="1">
      <alignment/>
      <protection/>
    </xf>
    <xf numFmtId="49" fontId="30" fillId="0" borderId="11" xfId="54" applyNumberFormat="1" applyBorder="1" applyAlignment="1">
      <alignment horizontal="center"/>
      <protection/>
    </xf>
    <xf numFmtId="49" fontId="30" fillId="0" borderId="11" xfId="55" applyNumberFormat="1" applyBorder="1">
      <alignment/>
      <protection/>
    </xf>
    <xf numFmtId="49" fontId="47" fillId="33" borderId="11" xfId="54" applyNumberFormat="1" applyFont="1" applyFill="1" applyBorder="1" applyAlignment="1">
      <alignment horizontal="left"/>
      <protection/>
    </xf>
    <xf numFmtId="49" fontId="30" fillId="0" borderId="11" xfId="54" applyNumberFormat="1" applyFont="1" applyBorder="1">
      <alignment/>
      <protection/>
    </xf>
    <xf numFmtId="49" fontId="5" fillId="0" borderId="0" xfId="55" applyNumberFormat="1" applyFont="1" applyFill="1" applyBorder="1" applyAlignment="1">
      <alignment horizontal="left"/>
      <protection/>
    </xf>
    <xf numFmtId="49" fontId="30" fillId="0" borderId="0" xfId="55" applyNumberFormat="1" applyFont="1" applyFill="1" applyBorder="1" applyAlignment="1">
      <alignment horizontal="left"/>
      <protection/>
    </xf>
    <xf numFmtId="49" fontId="30" fillId="0" borderId="11" xfId="54" applyNumberFormat="1" applyFont="1" applyBorder="1" applyAlignment="1">
      <alignment horizontal="center"/>
      <protection/>
    </xf>
    <xf numFmtId="49" fontId="30" fillId="0" borderId="11" xfId="55" applyNumberFormat="1" applyFont="1" applyFill="1" applyBorder="1" applyAlignment="1">
      <alignment horizontal="left"/>
      <protection/>
    </xf>
    <xf numFmtId="0" fontId="30" fillId="0" borderId="11" xfId="55" applyBorder="1" applyAlignment="1">
      <alignment wrapText="1"/>
      <protection/>
    </xf>
    <xf numFmtId="0" fontId="30" fillId="0" borderId="11" xfId="55" applyBorder="1">
      <alignment/>
      <protection/>
    </xf>
    <xf numFmtId="0" fontId="30" fillId="0" borderId="11" xfId="55" applyBorder="1" applyAlignment="1">
      <alignment horizontal="center"/>
      <protection/>
    </xf>
    <xf numFmtId="0" fontId="30" fillId="33" borderId="11" xfId="55" applyFill="1" applyBorder="1" applyAlignment="1">
      <alignment horizontal="center"/>
      <protection/>
    </xf>
    <xf numFmtId="0" fontId="30" fillId="0" borderId="16" xfId="55" applyBorder="1" applyAlignment="1">
      <alignment horizontal="center"/>
      <protection/>
    </xf>
    <xf numFmtId="0" fontId="30" fillId="33" borderId="11" xfId="55" applyFill="1" applyBorder="1">
      <alignment/>
      <protection/>
    </xf>
    <xf numFmtId="0" fontId="30" fillId="33" borderId="18" xfId="55" applyFill="1" applyBorder="1">
      <alignment/>
      <protection/>
    </xf>
    <xf numFmtId="0" fontId="30" fillId="0" borderId="16" xfId="55" applyBorder="1">
      <alignment/>
      <protection/>
    </xf>
    <xf numFmtId="0" fontId="30" fillId="0" borderId="17" xfId="55" applyBorder="1">
      <alignment/>
      <protection/>
    </xf>
    <xf numFmtId="0" fontId="30" fillId="0" borderId="18" xfId="55" applyBorder="1">
      <alignment/>
      <protection/>
    </xf>
    <xf numFmtId="0" fontId="30" fillId="33" borderId="16" xfId="55" applyFill="1" applyBorder="1" applyAlignment="1">
      <alignment horizontal="center"/>
      <protection/>
    </xf>
    <xf numFmtId="2" fontId="30" fillId="0" borderId="11" xfId="55" applyNumberFormat="1" applyBorder="1">
      <alignment/>
      <protection/>
    </xf>
    <xf numFmtId="0" fontId="30" fillId="0" borderId="11" xfId="55" applyBorder="1" applyAlignment="1">
      <alignment wrapText="1"/>
      <protection/>
    </xf>
    <xf numFmtId="0" fontId="30" fillId="0" borderId="11" xfId="55" applyBorder="1">
      <alignment/>
      <protection/>
    </xf>
    <xf numFmtId="0" fontId="30" fillId="0" borderId="11" xfId="55" applyBorder="1" applyAlignment="1">
      <alignment horizontal="center"/>
      <protection/>
    </xf>
    <xf numFmtId="0" fontId="30" fillId="33" borderId="11" xfId="55" applyFill="1" applyBorder="1" applyAlignment="1">
      <alignment horizontal="center"/>
      <protection/>
    </xf>
    <xf numFmtId="0" fontId="30" fillId="0" borderId="11" xfId="55" applyFill="1" applyBorder="1">
      <alignment/>
      <protection/>
    </xf>
    <xf numFmtId="0" fontId="30" fillId="0" borderId="11" xfId="55" applyFill="1" applyBorder="1" applyAlignment="1">
      <alignment horizontal="center"/>
      <protection/>
    </xf>
    <xf numFmtId="165" fontId="30" fillId="0" borderId="11" xfId="55" applyNumberFormat="1" applyBorder="1" applyAlignment="1">
      <alignment horizontal="left"/>
      <protection/>
    </xf>
    <xf numFmtId="2" fontId="30" fillId="0" borderId="11" xfId="55" applyNumberFormat="1" applyBorder="1">
      <alignment/>
      <protection/>
    </xf>
    <xf numFmtId="0" fontId="30" fillId="0" borderId="11" xfId="55" applyBorder="1" applyAlignment="1">
      <alignment wrapText="1"/>
      <protection/>
    </xf>
    <xf numFmtId="0" fontId="30" fillId="0" borderId="11" xfId="55" applyBorder="1">
      <alignment/>
      <protection/>
    </xf>
    <xf numFmtId="0" fontId="1" fillId="0" borderId="11" xfId="55" applyFont="1" applyBorder="1" applyAlignment="1">
      <alignment horizontal="center"/>
      <protection/>
    </xf>
    <xf numFmtId="0" fontId="30" fillId="33" borderId="11" xfId="55" applyFill="1" applyBorder="1">
      <alignment/>
      <protection/>
    </xf>
    <xf numFmtId="2" fontId="30" fillId="0" borderId="11" xfId="55" applyNumberFormat="1" applyBorder="1">
      <alignment/>
      <protection/>
    </xf>
    <xf numFmtId="165" fontId="30" fillId="0" borderId="11" xfId="55" applyNumberFormat="1" applyBorder="1">
      <alignment/>
      <protection/>
    </xf>
    <xf numFmtId="0" fontId="30" fillId="0" borderId="11" xfId="55" applyBorder="1" applyAlignment="1">
      <alignment wrapText="1"/>
      <protection/>
    </xf>
    <xf numFmtId="0" fontId="30" fillId="0" borderId="11" xfId="55" applyBorder="1">
      <alignment/>
      <protection/>
    </xf>
    <xf numFmtId="0" fontId="30" fillId="33" borderId="11" xfId="55" applyFill="1" applyBorder="1" applyAlignment="1">
      <alignment horizontal="center"/>
      <protection/>
    </xf>
    <xf numFmtId="0" fontId="1" fillId="0" borderId="11" xfId="55" applyFont="1" applyBorder="1" applyAlignment="1">
      <alignment horizontal="center"/>
      <protection/>
    </xf>
    <xf numFmtId="0" fontId="30" fillId="33" borderId="11" xfId="55" applyFill="1" applyBorder="1">
      <alignment/>
      <protection/>
    </xf>
    <xf numFmtId="2" fontId="30" fillId="0" borderId="11" xfId="55" applyNumberFormat="1" applyBorder="1">
      <alignment/>
      <protection/>
    </xf>
    <xf numFmtId="165" fontId="30" fillId="0" borderId="11" xfId="55" applyNumberFormat="1" applyBorder="1">
      <alignment/>
      <protection/>
    </xf>
    <xf numFmtId="0" fontId="30" fillId="0" borderId="0" xfId="55">
      <alignment/>
      <protection/>
    </xf>
    <xf numFmtId="0" fontId="30" fillId="0" borderId="11" xfId="55" applyBorder="1" applyAlignment="1">
      <alignment wrapText="1"/>
      <protection/>
    </xf>
    <xf numFmtId="0" fontId="30" fillId="0" borderId="11" xfId="55" applyBorder="1">
      <alignment/>
      <protection/>
    </xf>
    <xf numFmtId="0" fontId="30" fillId="0" borderId="11" xfId="55" applyBorder="1" applyAlignment="1">
      <alignment horizontal="center"/>
      <protection/>
    </xf>
    <xf numFmtId="0" fontId="30" fillId="33" borderId="11" xfId="55" applyFill="1" applyBorder="1" applyAlignment="1">
      <alignment horizontal="center"/>
      <protection/>
    </xf>
    <xf numFmtId="49" fontId="5" fillId="0" borderId="0" xfId="55" applyNumberFormat="1" applyFont="1" applyFill="1" applyBorder="1" applyAlignment="1">
      <alignment horizontal="left"/>
      <protection/>
    </xf>
    <xf numFmtId="49" fontId="30" fillId="0" borderId="0" xfId="55" applyNumberFormat="1" applyFont="1" applyFill="1" applyBorder="1" applyAlignment="1">
      <alignment horizontal="left"/>
      <protection/>
    </xf>
    <xf numFmtId="49" fontId="30" fillId="0" borderId="13" xfId="55" applyNumberFormat="1" applyBorder="1" applyAlignment="1">
      <alignment wrapText="1"/>
      <protection/>
    </xf>
    <xf numFmtId="0" fontId="30" fillId="0" borderId="11" xfId="55" applyBorder="1" applyAlignment="1">
      <alignment horizontal="center"/>
      <protection/>
    </xf>
    <xf numFmtId="0" fontId="30" fillId="0" borderId="11" xfId="55" applyBorder="1" applyAlignment="1">
      <alignment horizontal="center" wrapText="1"/>
      <protection/>
    </xf>
    <xf numFmtId="49" fontId="48" fillId="0" borderId="0" xfId="0" applyNumberFormat="1" applyFont="1" applyAlignment="1">
      <alignment/>
    </xf>
    <xf numFmtId="0" fontId="0" fillId="33" borderId="11" xfId="0" applyFill="1" applyBorder="1" applyAlignment="1">
      <alignment wrapText="1"/>
    </xf>
    <xf numFmtId="0" fontId="0" fillId="33" borderId="0" xfId="0" applyFill="1" applyAlignment="1">
      <alignment/>
    </xf>
    <xf numFmtId="49" fontId="0" fillId="0" borderId="11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 indent="1"/>
    </xf>
    <xf numFmtId="49" fontId="0" fillId="0" borderId="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30" fillId="0" borderId="12" xfId="55" applyBorder="1" applyAlignment="1">
      <alignment horizontal="center"/>
      <protection/>
    </xf>
    <xf numFmtId="0" fontId="30" fillId="0" borderId="13" xfId="55" applyBorder="1" applyAlignment="1">
      <alignment horizontal="center"/>
      <protection/>
    </xf>
    <xf numFmtId="0" fontId="30" fillId="0" borderId="12" xfId="55" applyBorder="1" applyAlignment="1">
      <alignment horizontal="center" wrapText="1"/>
      <protection/>
    </xf>
    <xf numFmtId="0" fontId="30" fillId="0" borderId="13" xfId="55" applyBorder="1" applyAlignment="1">
      <alignment horizontal="center" wrapText="1"/>
      <protection/>
    </xf>
    <xf numFmtId="0" fontId="49" fillId="0" borderId="18" xfId="55" applyFont="1" applyBorder="1" applyAlignment="1">
      <alignment horizontal="center" wrapText="1"/>
      <protection/>
    </xf>
    <xf numFmtId="0" fontId="49" fillId="0" borderId="16" xfId="55" applyFont="1" applyBorder="1" applyAlignment="1">
      <alignment horizontal="center" wrapText="1"/>
      <protection/>
    </xf>
    <xf numFmtId="0" fontId="49" fillId="0" borderId="17" xfId="55" applyFont="1" applyBorder="1" applyAlignment="1">
      <alignment horizontal="center" wrapText="1"/>
      <protection/>
    </xf>
    <xf numFmtId="0" fontId="30" fillId="0" borderId="18" xfId="55" applyBorder="1" applyAlignment="1">
      <alignment horizontal="center"/>
      <protection/>
    </xf>
    <xf numFmtId="0" fontId="30" fillId="0" borderId="16" xfId="55" applyBorder="1" applyAlignment="1">
      <alignment horizontal="center"/>
      <protection/>
    </xf>
    <xf numFmtId="0" fontId="30" fillId="0" borderId="17" xfId="55" applyBorder="1" applyAlignment="1">
      <alignment horizontal="center"/>
      <protection/>
    </xf>
    <xf numFmtId="0" fontId="30" fillId="33" borderId="18" xfId="55" applyFill="1" applyBorder="1" applyAlignment="1">
      <alignment horizontal="center"/>
      <protection/>
    </xf>
    <xf numFmtId="0" fontId="30" fillId="33" borderId="16" xfId="55" applyFill="1" applyBorder="1" applyAlignment="1">
      <alignment horizontal="center"/>
      <protection/>
    </xf>
    <xf numFmtId="0" fontId="30" fillId="33" borderId="17" xfId="55" applyFill="1" applyBorder="1" applyAlignment="1">
      <alignment horizontal="center"/>
      <protection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49" fillId="0" borderId="18" xfId="55" applyFont="1" applyBorder="1" applyAlignment="1">
      <alignment horizontal="center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9" fillId="0" borderId="31" xfId="55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9" fontId="30" fillId="0" borderId="13" xfId="55" applyNumberFormat="1" applyBorder="1" applyAlignment="1">
      <alignment horizontal="center" wrapText="1"/>
      <protection/>
    </xf>
    <xf numFmtId="49" fontId="30" fillId="0" borderId="11" xfId="55" applyNumberFormat="1" applyBorder="1" applyAlignment="1">
      <alignment horizontal="center" wrapText="1"/>
      <protection/>
    </xf>
    <xf numFmtId="49" fontId="38" fillId="0" borderId="11" xfId="55" applyNumberFormat="1" applyFont="1" applyBorder="1" applyAlignment="1">
      <alignment horizontal="center"/>
      <protection/>
    </xf>
    <xf numFmtId="49" fontId="30" fillId="0" borderId="14" xfId="55" applyNumberFormat="1" applyBorder="1" applyAlignment="1">
      <alignment horizontal="center" wrapText="1"/>
      <protection/>
    </xf>
    <xf numFmtId="0" fontId="30" fillId="0" borderId="11" xfId="55" applyBorder="1" applyAlignment="1">
      <alignment horizontal="center" wrapText="1"/>
      <protection/>
    </xf>
    <xf numFmtId="0" fontId="30" fillId="0" borderId="11" xfId="55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">
      <selection activeCell="K3" sqref="K3:K4"/>
    </sheetView>
  </sheetViews>
  <sheetFormatPr defaultColWidth="9.00390625" defaultRowHeight="12.75"/>
  <cols>
    <col min="1" max="1" width="26.00390625" style="37" bestFit="1" customWidth="1"/>
    <col min="2" max="2" width="29.00390625" style="37" bestFit="1" customWidth="1"/>
    <col min="3" max="3" width="10.625" style="37" bestFit="1" customWidth="1"/>
    <col min="4" max="4" width="8.375" style="37" bestFit="1" customWidth="1"/>
    <col min="5" max="5" width="22.75390625" style="37" bestFit="1" customWidth="1"/>
    <col min="6" max="6" width="32.375" style="37" bestFit="1" customWidth="1"/>
    <col min="7" max="7" width="7.00390625" style="37" customWidth="1"/>
    <col min="8" max="9" width="4.625" style="37" bestFit="1" customWidth="1"/>
    <col min="10" max="10" width="6.875" style="37" customWidth="1"/>
    <col min="11" max="11" width="11.125" style="37" customWidth="1"/>
    <col min="12" max="12" width="7.625" style="37" bestFit="1" customWidth="1"/>
    <col min="13" max="13" width="6.25390625" style="0" customWidth="1"/>
  </cols>
  <sheetData>
    <row r="1" spans="1:13" ht="28.5" customHeight="1">
      <c r="A1" s="160" t="s">
        <v>573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spans="1:13" ht="61.5" customHeight="1" thickBot="1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5"/>
    </row>
    <row r="3" spans="1:13" ht="15">
      <c r="A3" s="166" t="s">
        <v>0</v>
      </c>
      <c r="B3" s="168" t="s">
        <v>5</v>
      </c>
      <c r="C3" s="168" t="s">
        <v>6</v>
      </c>
      <c r="D3" s="170" t="s">
        <v>9</v>
      </c>
      <c r="E3" s="170" t="s">
        <v>3</v>
      </c>
      <c r="F3" s="170" t="s">
        <v>7</v>
      </c>
      <c r="G3" s="170" t="s">
        <v>511</v>
      </c>
      <c r="H3" s="170"/>
      <c r="I3" s="170"/>
      <c r="J3" s="170"/>
      <c r="K3" s="170" t="s">
        <v>106</v>
      </c>
      <c r="L3" s="170" t="s">
        <v>2</v>
      </c>
      <c r="M3" s="158" t="s">
        <v>1</v>
      </c>
    </row>
    <row r="4" spans="1:13" ht="15.75" thickBot="1">
      <c r="A4" s="167"/>
      <c r="B4" s="169"/>
      <c r="C4" s="169"/>
      <c r="D4" s="169"/>
      <c r="E4" s="169"/>
      <c r="F4" s="169"/>
      <c r="G4" s="6">
        <v>1</v>
      </c>
      <c r="H4" s="6">
        <v>2</v>
      </c>
      <c r="I4" s="6">
        <v>3</v>
      </c>
      <c r="J4" s="6" t="s">
        <v>4</v>
      </c>
      <c r="K4" s="169"/>
      <c r="L4" s="169"/>
      <c r="M4" s="159"/>
    </row>
    <row r="5" spans="1:12" ht="15">
      <c r="A5" s="157" t="s">
        <v>21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6" spans="1:13" ht="12.75">
      <c r="A6" s="38" t="s">
        <v>397</v>
      </c>
      <c r="B6" s="38" t="s">
        <v>522</v>
      </c>
      <c r="C6" s="38" t="s">
        <v>398</v>
      </c>
      <c r="D6" s="38" t="str">
        <f>"0,9724"</f>
        <v>0,9724</v>
      </c>
      <c r="E6" s="38" t="s">
        <v>15</v>
      </c>
      <c r="F6" s="38" t="s">
        <v>211</v>
      </c>
      <c r="G6" s="38" t="s">
        <v>523</v>
      </c>
      <c r="H6" s="39" t="s">
        <v>524</v>
      </c>
      <c r="I6" s="38" t="s">
        <v>524</v>
      </c>
      <c r="J6" s="39"/>
      <c r="K6" s="38" t="str">
        <f>"22,5"</f>
        <v>22,5</v>
      </c>
      <c r="L6" s="38" t="str">
        <f>"23,6281"</f>
        <v>23,6281</v>
      </c>
      <c r="M6" s="33" t="s">
        <v>20</v>
      </c>
    </row>
    <row r="8" spans="1:12" ht="15">
      <c r="A8" s="157" t="s">
        <v>34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</row>
    <row r="9" spans="1:13" ht="12.75">
      <c r="A9" s="40" t="s">
        <v>525</v>
      </c>
      <c r="B9" s="40" t="s">
        <v>180</v>
      </c>
      <c r="C9" s="40" t="s">
        <v>181</v>
      </c>
      <c r="D9" s="40" t="str">
        <f>"0,8249"</f>
        <v>0,8249</v>
      </c>
      <c r="E9" s="40" t="s">
        <v>15</v>
      </c>
      <c r="F9" s="40" t="s">
        <v>16</v>
      </c>
      <c r="G9" s="40" t="s">
        <v>121</v>
      </c>
      <c r="H9" s="40" t="s">
        <v>142</v>
      </c>
      <c r="I9" s="40" t="s">
        <v>128</v>
      </c>
      <c r="J9" s="41"/>
      <c r="K9" s="40" t="str">
        <f>"62,5"</f>
        <v>62,5</v>
      </c>
      <c r="L9" s="40" t="str">
        <f>"51,5594"</f>
        <v>51,5594</v>
      </c>
      <c r="M9" s="34" t="s">
        <v>20</v>
      </c>
    </row>
    <row r="10" spans="1:13" ht="12.75">
      <c r="A10" s="42" t="s">
        <v>526</v>
      </c>
      <c r="B10" s="42" t="s">
        <v>527</v>
      </c>
      <c r="C10" s="42" t="s">
        <v>141</v>
      </c>
      <c r="D10" s="42" t="str">
        <f>"0,8580"</f>
        <v>0,8580</v>
      </c>
      <c r="E10" s="42" t="s">
        <v>15</v>
      </c>
      <c r="F10" s="42" t="s">
        <v>528</v>
      </c>
      <c r="G10" s="42" t="s">
        <v>119</v>
      </c>
      <c r="H10" s="42" t="s">
        <v>121</v>
      </c>
      <c r="I10" s="43" t="s">
        <v>142</v>
      </c>
      <c r="J10" s="43"/>
      <c r="K10" s="42" t="str">
        <f>"57,5"</f>
        <v>57,5</v>
      </c>
      <c r="L10" s="42" t="str">
        <f>"49,3350"</f>
        <v>49,3350</v>
      </c>
      <c r="M10" s="35" t="s">
        <v>20</v>
      </c>
    </row>
    <row r="12" spans="1:12" ht="15">
      <c r="A12" s="157" t="s">
        <v>185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</row>
    <row r="13" spans="1:13" ht="12.75">
      <c r="A13" s="40" t="s">
        <v>529</v>
      </c>
      <c r="B13" s="40" t="s">
        <v>530</v>
      </c>
      <c r="C13" s="40" t="s">
        <v>531</v>
      </c>
      <c r="D13" s="40" t="str">
        <f>"0,6673"</f>
        <v>0,6673</v>
      </c>
      <c r="E13" s="40" t="s">
        <v>15</v>
      </c>
      <c r="F13" s="40" t="s">
        <v>16</v>
      </c>
      <c r="G13" s="40" t="s">
        <v>25</v>
      </c>
      <c r="H13" s="40" t="s">
        <v>532</v>
      </c>
      <c r="I13" s="40" t="s">
        <v>120</v>
      </c>
      <c r="J13" s="41"/>
      <c r="K13" s="40" t="str">
        <f>"55,0"</f>
        <v>55,0</v>
      </c>
      <c r="L13" s="40" t="str">
        <f>"38,1696"</f>
        <v>38,1696</v>
      </c>
      <c r="M13" s="34" t="s">
        <v>20</v>
      </c>
    </row>
    <row r="14" spans="1:13" ht="12.75">
      <c r="A14" s="44" t="s">
        <v>533</v>
      </c>
      <c r="B14" s="44" t="s">
        <v>534</v>
      </c>
      <c r="C14" s="44" t="s">
        <v>535</v>
      </c>
      <c r="D14" s="44" t="str">
        <f>"0,6716"</f>
        <v>0,6716</v>
      </c>
      <c r="E14" s="44" t="s">
        <v>15</v>
      </c>
      <c r="F14" s="44" t="s">
        <v>16</v>
      </c>
      <c r="G14" s="44" t="s">
        <v>121</v>
      </c>
      <c r="H14" s="44" t="s">
        <v>142</v>
      </c>
      <c r="I14" s="44" t="s">
        <v>165</v>
      </c>
      <c r="J14" s="45"/>
      <c r="K14" s="44" t="str">
        <f>"67,5"</f>
        <v>67,5</v>
      </c>
      <c r="L14" s="44" t="str">
        <f>"46,6930"</f>
        <v>46,6930</v>
      </c>
      <c r="M14" s="36" t="s">
        <v>20</v>
      </c>
    </row>
    <row r="15" spans="1:13" ht="12.75">
      <c r="A15" s="44" t="s">
        <v>536</v>
      </c>
      <c r="B15" s="44" t="s">
        <v>537</v>
      </c>
      <c r="C15" s="44" t="s">
        <v>538</v>
      </c>
      <c r="D15" s="44" t="str">
        <f>"0,6874"</f>
        <v>0,6874</v>
      </c>
      <c r="E15" s="44" t="s">
        <v>15</v>
      </c>
      <c r="F15" s="44" t="s">
        <v>16</v>
      </c>
      <c r="G15" s="44" t="s">
        <v>532</v>
      </c>
      <c r="H15" s="44" t="s">
        <v>120</v>
      </c>
      <c r="I15" s="44" t="s">
        <v>121</v>
      </c>
      <c r="J15" s="45"/>
      <c r="K15" s="44" t="str">
        <f>"57,5"</f>
        <v>57,5</v>
      </c>
      <c r="L15" s="44" t="str">
        <f>"39,9208"</f>
        <v>39,9208</v>
      </c>
      <c r="M15" s="36" t="s">
        <v>20</v>
      </c>
    </row>
    <row r="16" spans="1:13" ht="12.75">
      <c r="A16" s="44" t="s">
        <v>190</v>
      </c>
      <c r="B16" s="44" t="s">
        <v>191</v>
      </c>
      <c r="C16" s="44" t="s">
        <v>192</v>
      </c>
      <c r="D16" s="44" t="str">
        <f>"0,6676"</f>
        <v>0,6676</v>
      </c>
      <c r="E16" s="44" t="s">
        <v>15</v>
      </c>
      <c r="F16" s="44" t="s">
        <v>16</v>
      </c>
      <c r="G16" s="44" t="s">
        <v>532</v>
      </c>
      <c r="H16" s="44" t="s">
        <v>121</v>
      </c>
      <c r="I16" s="44" t="s">
        <v>142</v>
      </c>
      <c r="J16" s="45"/>
      <c r="K16" s="44" t="str">
        <f>"60,0"</f>
        <v>60,0</v>
      </c>
      <c r="L16" s="44" t="str">
        <f>"40,0590"</f>
        <v>40,0590</v>
      </c>
      <c r="M16" s="36" t="s">
        <v>20</v>
      </c>
    </row>
    <row r="17" spans="1:13" ht="12.75">
      <c r="A17" s="44" t="s">
        <v>539</v>
      </c>
      <c r="B17" s="44" t="s">
        <v>540</v>
      </c>
      <c r="C17" s="44" t="s">
        <v>541</v>
      </c>
      <c r="D17" s="44" t="str">
        <f>"0,6767"</f>
        <v>0,6767</v>
      </c>
      <c r="E17" s="44" t="s">
        <v>15</v>
      </c>
      <c r="F17" s="44" t="s">
        <v>542</v>
      </c>
      <c r="G17" s="44" t="s">
        <v>25</v>
      </c>
      <c r="H17" s="44" t="s">
        <v>532</v>
      </c>
      <c r="I17" s="44" t="s">
        <v>120</v>
      </c>
      <c r="J17" s="45"/>
      <c r="K17" s="44" t="str">
        <f>"55,0"</f>
        <v>55,0</v>
      </c>
      <c r="L17" s="44" t="str">
        <f>"37,2185"</f>
        <v>37,2185</v>
      </c>
      <c r="M17" s="36" t="s">
        <v>20</v>
      </c>
    </row>
    <row r="18" spans="1:13" ht="12.75">
      <c r="A18" s="44" t="s">
        <v>208</v>
      </c>
      <c r="B18" s="44" t="s">
        <v>209</v>
      </c>
      <c r="C18" s="44" t="s">
        <v>210</v>
      </c>
      <c r="D18" s="44" t="str">
        <f>"0,6666"</f>
        <v>0,6666</v>
      </c>
      <c r="E18" s="44" t="s">
        <v>15</v>
      </c>
      <c r="F18" s="44" t="s">
        <v>211</v>
      </c>
      <c r="G18" s="44" t="s">
        <v>135</v>
      </c>
      <c r="H18" s="44" t="s">
        <v>17</v>
      </c>
      <c r="I18" s="44" t="s">
        <v>18</v>
      </c>
      <c r="J18" s="45"/>
      <c r="K18" s="44" t="str">
        <f>"42,5"</f>
        <v>42,5</v>
      </c>
      <c r="L18" s="44" t="str">
        <f>"34,2516"</f>
        <v>34,2516</v>
      </c>
      <c r="M18" s="36" t="s">
        <v>20</v>
      </c>
    </row>
    <row r="19" spans="1:13" ht="12.75">
      <c r="A19" s="42" t="s">
        <v>543</v>
      </c>
      <c r="B19" s="42" t="s">
        <v>544</v>
      </c>
      <c r="C19" s="42" t="s">
        <v>545</v>
      </c>
      <c r="D19" s="42" t="str">
        <f>"0,6687"</f>
        <v>0,6687</v>
      </c>
      <c r="E19" s="42" t="s">
        <v>15</v>
      </c>
      <c r="F19" s="42" t="s">
        <v>16</v>
      </c>
      <c r="G19" s="42" t="s">
        <v>119</v>
      </c>
      <c r="H19" s="42" t="s">
        <v>532</v>
      </c>
      <c r="I19" s="42" t="s">
        <v>120</v>
      </c>
      <c r="J19" s="43"/>
      <c r="K19" s="42" t="str">
        <f>"55,0"</f>
        <v>55,0</v>
      </c>
      <c r="L19" s="42" t="str">
        <f>"64,5463"</f>
        <v>64,5463</v>
      </c>
      <c r="M19" s="35" t="s">
        <v>20</v>
      </c>
    </row>
    <row r="21" spans="1:12" ht="15">
      <c r="A21" s="157" t="s">
        <v>38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</row>
    <row r="22" spans="1:13" ht="12.75">
      <c r="A22" s="40" t="s">
        <v>39</v>
      </c>
      <c r="B22" s="40" t="s">
        <v>40</v>
      </c>
      <c r="C22" s="40" t="s">
        <v>41</v>
      </c>
      <c r="D22" s="40" t="str">
        <f>"0,6246"</f>
        <v>0,6246</v>
      </c>
      <c r="E22" s="40" t="s">
        <v>15</v>
      </c>
      <c r="F22" s="40" t="s">
        <v>16</v>
      </c>
      <c r="G22" s="41" t="s">
        <v>142</v>
      </c>
      <c r="H22" s="40" t="s">
        <v>129</v>
      </c>
      <c r="I22" s="40" t="s">
        <v>154</v>
      </c>
      <c r="J22" s="41"/>
      <c r="K22" s="40" t="str">
        <f>"70,0"</f>
        <v>70,0</v>
      </c>
      <c r="L22" s="40" t="str">
        <f>"45,4709"</f>
        <v>45,4709</v>
      </c>
      <c r="M22" s="34" t="s">
        <v>20</v>
      </c>
    </row>
    <row r="23" spans="1:13" ht="12.75">
      <c r="A23" s="44" t="s">
        <v>547</v>
      </c>
      <c r="B23" s="44" t="s">
        <v>548</v>
      </c>
      <c r="C23" s="44" t="s">
        <v>50</v>
      </c>
      <c r="D23" s="44" t="str">
        <f>"0,6259"</f>
        <v>0,6259</v>
      </c>
      <c r="E23" s="44" t="s">
        <v>15</v>
      </c>
      <c r="F23" s="44" t="s">
        <v>16</v>
      </c>
      <c r="G23" s="44" t="s">
        <v>165</v>
      </c>
      <c r="H23" s="44" t="s">
        <v>366</v>
      </c>
      <c r="I23" s="44" t="s">
        <v>81</v>
      </c>
      <c r="J23" s="45"/>
      <c r="K23" s="44" t="str">
        <f>"75,0"</f>
        <v>75,0</v>
      </c>
      <c r="L23" s="44" t="str">
        <f>"47,8852"</f>
        <v>47,8852</v>
      </c>
      <c r="M23" s="36" t="s">
        <v>20</v>
      </c>
    </row>
    <row r="24" spans="1:13" ht="12.75">
      <c r="A24" s="44" t="s">
        <v>549</v>
      </c>
      <c r="B24" s="44" t="s">
        <v>550</v>
      </c>
      <c r="C24" s="44" t="s">
        <v>551</v>
      </c>
      <c r="D24" s="44" t="str">
        <f>"0,6577"</f>
        <v>0,6577</v>
      </c>
      <c r="E24" s="44" t="s">
        <v>15</v>
      </c>
      <c r="F24" s="44" t="s">
        <v>16</v>
      </c>
      <c r="G24" s="44" t="s">
        <v>120</v>
      </c>
      <c r="H24" s="44" t="s">
        <v>142</v>
      </c>
      <c r="I24" s="44" t="s">
        <v>129</v>
      </c>
      <c r="J24" s="45"/>
      <c r="K24" s="44" t="str">
        <f>"65,0"</f>
        <v>65,0</v>
      </c>
      <c r="L24" s="44" t="str">
        <f>"43,6055"</f>
        <v>43,6055</v>
      </c>
      <c r="M24" s="36" t="s">
        <v>20</v>
      </c>
    </row>
    <row r="25" spans="1:13" ht="12.75">
      <c r="A25" s="44" t="s">
        <v>552</v>
      </c>
      <c r="B25" s="44" t="s">
        <v>239</v>
      </c>
      <c r="C25" s="44" t="s">
        <v>240</v>
      </c>
      <c r="D25" s="44" t="str">
        <f>"0,6332"</f>
        <v>0,6332</v>
      </c>
      <c r="E25" s="44" t="s">
        <v>15</v>
      </c>
      <c r="F25" s="44" t="s">
        <v>16</v>
      </c>
      <c r="G25" s="44" t="s">
        <v>120</v>
      </c>
      <c r="H25" s="44" t="s">
        <v>128</v>
      </c>
      <c r="I25" s="44" t="s">
        <v>366</v>
      </c>
      <c r="J25" s="45"/>
      <c r="K25" s="44" t="str">
        <f>"72,5"</f>
        <v>72,5</v>
      </c>
      <c r="L25" s="44" t="str">
        <f>"45,9070"</f>
        <v>45,9070</v>
      </c>
      <c r="M25" s="36" t="s">
        <v>20</v>
      </c>
    </row>
    <row r="26" spans="1:13" ht="12.75">
      <c r="A26" s="44" t="s">
        <v>553</v>
      </c>
      <c r="B26" s="44" t="s">
        <v>554</v>
      </c>
      <c r="C26" s="44" t="s">
        <v>555</v>
      </c>
      <c r="D26" s="44" t="str">
        <f>"0,6238"</f>
        <v>0,6238</v>
      </c>
      <c r="E26" s="44" t="s">
        <v>15</v>
      </c>
      <c r="F26" s="44" t="s">
        <v>16</v>
      </c>
      <c r="G26" s="44" t="s">
        <v>120</v>
      </c>
      <c r="H26" s="44" t="s">
        <v>128</v>
      </c>
      <c r="I26" s="44" t="s">
        <v>165</v>
      </c>
      <c r="J26" s="45"/>
      <c r="K26" s="44" t="str">
        <f>"67,5"</f>
        <v>67,5</v>
      </c>
      <c r="L26" s="44" t="str">
        <f>"42,1065"</f>
        <v>42,1065</v>
      </c>
      <c r="M26" s="36" t="s">
        <v>20</v>
      </c>
    </row>
    <row r="27" spans="1:13" ht="12.75">
      <c r="A27" s="44" t="s">
        <v>556</v>
      </c>
      <c r="B27" s="44" t="s">
        <v>230</v>
      </c>
      <c r="C27" s="44" t="s">
        <v>225</v>
      </c>
      <c r="D27" s="44" t="str">
        <f>"0,6284"</f>
        <v>0,6284</v>
      </c>
      <c r="E27" s="44" t="s">
        <v>15</v>
      </c>
      <c r="F27" s="44" t="s">
        <v>16</v>
      </c>
      <c r="G27" s="44" t="s">
        <v>119</v>
      </c>
      <c r="H27" s="44" t="s">
        <v>142</v>
      </c>
      <c r="I27" s="45" t="s">
        <v>154</v>
      </c>
      <c r="J27" s="45"/>
      <c r="K27" s="44" t="str">
        <f>"60,0"</f>
        <v>60,0</v>
      </c>
      <c r="L27" s="44" t="str">
        <f>"37,7040"</f>
        <v>37,7040</v>
      </c>
      <c r="M27" s="36" t="s">
        <v>20</v>
      </c>
    </row>
    <row r="28" spans="1:13" ht="12.75">
      <c r="A28" s="44" t="s">
        <v>557</v>
      </c>
      <c r="B28" s="44" t="s">
        <v>558</v>
      </c>
      <c r="C28" s="44" t="s">
        <v>559</v>
      </c>
      <c r="D28" s="44" t="str">
        <f>"0,6224"</f>
        <v>0,6224</v>
      </c>
      <c r="E28" s="44" t="s">
        <v>15</v>
      </c>
      <c r="F28" s="44" t="s">
        <v>16</v>
      </c>
      <c r="G28" s="44" t="s">
        <v>120</v>
      </c>
      <c r="H28" s="44" t="s">
        <v>121</v>
      </c>
      <c r="I28" s="44" t="s">
        <v>142</v>
      </c>
      <c r="J28" s="45"/>
      <c r="K28" s="44" t="str">
        <f>"60,0"</f>
        <v>60,0</v>
      </c>
      <c r="L28" s="44" t="str">
        <f>"37,3440"</f>
        <v>37,3440</v>
      </c>
      <c r="M28" s="36" t="s">
        <v>20</v>
      </c>
    </row>
    <row r="29" spans="1:13" ht="12.75">
      <c r="A29" s="44" t="s">
        <v>560</v>
      </c>
      <c r="B29" s="44" t="s">
        <v>561</v>
      </c>
      <c r="C29" s="44" t="s">
        <v>562</v>
      </c>
      <c r="D29" s="44" t="str">
        <f>"0,6222"</f>
        <v>0,6222</v>
      </c>
      <c r="E29" s="44" t="s">
        <v>15</v>
      </c>
      <c r="F29" s="44" t="s">
        <v>16</v>
      </c>
      <c r="G29" s="44" t="s">
        <v>25</v>
      </c>
      <c r="H29" s="44" t="s">
        <v>120</v>
      </c>
      <c r="I29" s="45" t="s">
        <v>121</v>
      </c>
      <c r="J29" s="45"/>
      <c r="K29" s="44" t="str">
        <f>"55,0"</f>
        <v>55,0</v>
      </c>
      <c r="L29" s="44" t="str">
        <f>"34,2183"</f>
        <v>34,2183</v>
      </c>
      <c r="M29" s="36" t="s">
        <v>20</v>
      </c>
    </row>
    <row r="30" spans="1:13" ht="12.75">
      <c r="A30" s="42" t="s">
        <v>563</v>
      </c>
      <c r="B30" s="42" t="s">
        <v>564</v>
      </c>
      <c r="C30" s="42" t="s">
        <v>565</v>
      </c>
      <c r="D30" s="42" t="str">
        <f>"0,6273"</f>
        <v>0,6273</v>
      </c>
      <c r="E30" s="42" t="s">
        <v>15</v>
      </c>
      <c r="F30" s="42" t="s">
        <v>16</v>
      </c>
      <c r="G30" s="43" t="s">
        <v>19</v>
      </c>
      <c r="H30" s="42" t="s">
        <v>119</v>
      </c>
      <c r="I30" s="42" t="s">
        <v>120</v>
      </c>
      <c r="J30" s="156" t="s">
        <v>730</v>
      </c>
      <c r="K30" s="42" t="str">
        <f>"55,0"</f>
        <v>55,0</v>
      </c>
      <c r="L30" s="42" t="str">
        <f>"58,6526"</f>
        <v>58,6526</v>
      </c>
      <c r="M30" s="35" t="s">
        <v>20</v>
      </c>
    </row>
    <row r="32" spans="1:12" ht="15">
      <c r="A32" s="157" t="s">
        <v>51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</row>
    <row r="33" spans="1:13" ht="12.75">
      <c r="A33" s="40" t="s">
        <v>566</v>
      </c>
      <c r="B33" s="40" t="s">
        <v>567</v>
      </c>
      <c r="C33" s="40" t="s">
        <v>568</v>
      </c>
      <c r="D33" s="40" t="str">
        <f>"0,5956"</f>
        <v>0,5956</v>
      </c>
      <c r="E33" s="40" t="s">
        <v>15</v>
      </c>
      <c r="F33" s="40" t="s">
        <v>16</v>
      </c>
      <c r="G33" s="40" t="s">
        <v>25</v>
      </c>
      <c r="H33" s="40" t="s">
        <v>532</v>
      </c>
      <c r="I33" s="40" t="s">
        <v>120</v>
      </c>
      <c r="J33" s="41"/>
      <c r="K33" s="40" t="str">
        <f>"55,0"</f>
        <v>55,0</v>
      </c>
      <c r="L33" s="40" t="str">
        <f>"35,3786"</f>
        <v>35,3786</v>
      </c>
      <c r="M33" s="34" t="s">
        <v>20</v>
      </c>
    </row>
    <row r="34" spans="1:13" ht="12.75">
      <c r="A34" s="44" t="s">
        <v>415</v>
      </c>
      <c r="B34" s="44" t="s">
        <v>416</v>
      </c>
      <c r="C34" s="44" t="s">
        <v>411</v>
      </c>
      <c r="D34" s="44" t="str">
        <f>"0,5926"</f>
        <v>0,5926</v>
      </c>
      <c r="E34" s="44" t="s">
        <v>15</v>
      </c>
      <c r="F34" s="44" t="s">
        <v>16</v>
      </c>
      <c r="G34" s="44" t="s">
        <v>154</v>
      </c>
      <c r="H34" s="45" t="s">
        <v>81</v>
      </c>
      <c r="I34" s="45"/>
      <c r="J34" s="45"/>
      <c r="K34" s="44" t="str">
        <f>"70,0"</f>
        <v>70,0</v>
      </c>
      <c r="L34" s="44" t="str">
        <f>"41,8968"</f>
        <v>41,8968</v>
      </c>
      <c r="M34" s="36" t="s">
        <v>20</v>
      </c>
    </row>
    <row r="35" spans="1:13" ht="12.75">
      <c r="A35" s="44" t="s">
        <v>569</v>
      </c>
      <c r="B35" s="44" t="s">
        <v>267</v>
      </c>
      <c r="C35" s="44" t="s">
        <v>268</v>
      </c>
      <c r="D35" s="44" t="str">
        <f>"0,5937"</f>
        <v>0,5937</v>
      </c>
      <c r="E35" s="44" t="s">
        <v>15</v>
      </c>
      <c r="F35" s="44" t="s">
        <v>16</v>
      </c>
      <c r="G35" s="44" t="s">
        <v>128</v>
      </c>
      <c r="H35" s="44" t="s">
        <v>154</v>
      </c>
      <c r="I35" s="45"/>
      <c r="J35" s="45"/>
      <c r="K35" s="44" t="str">
        <f>"70,0"</f>
        <v>70,0</v>
      </c>
      <c r="L35" s="44" t="str">
        <f>"41,5590"</f>
        <v>41,5590</v>
      </c>
      <c r="M35" s="36" t="s">
        <v>20</v>
      </c>
    </row>
    <row r="36" spans="1:13" ht="12.75">
      <c r="A36" s="42" t="s">
        <v>570</v>
      </c>
      <c r="B36" s="42" t="s">
        <v>270</v>
      </c>
      <c r="C36" s="42" t="s">
        <v>271</v>
      </c>
      <c r="D36" s="42" t="str">
        <f>"0,5877"</f>
        <v>0,5877</v>
      </c>
      <c r="E36" s="42" t="s">
        <v>15</v>
      </c>
      <c r="F36" s="42" t="s">
        <v>16</v>
      </c>
      <c r="G36" s="42" t="s">
        <v>120</v>
      </c>
      <c r="H36" s="42" t="s">
        <v>128</v>
      </c>
      <c r="I36" s="43" t="s">
        <v>154</v>
      </c>
      <c r="J36" s="43"/>
      <c r="K36" s="42" t="str">
        <f>"62,5"</f>
        <v>62,5</v>
      </c>
      <c r="L36" s="42" t="str">
        <f>"36,7313"</f>
        <v>36,7313</v>
      </c>
      <c r="M36" s="35" t="s">
        <v>20</v>
      </c>
    </row>
    <row r="38" spans="1:12" ht="15">
      <c r="A38" s="157" t="s">
        <v>62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</row>
    <row r="39" spans="1:13" ht="12.75">
      <c r="A39" s="38" t="s">
        <v>63</v>
      </c>
      <c r="B39" s="38" t="s">
        <v>64</v>
      </c>
      <c r="C39" s="38" t="s">
        <v>65</v>
      </c>
      <c r="D39" s="38" t="str">
        <f>"0,5678"</f>
        <v>0,5678</v>
      </c>
      <c r="E39" s="38" t="s">
        <v>15</v>
      </c>
      <c r="F39" s="38" t="s">
        <v>16</v>
      </c>
      <c r="G39" s="38" t="s">
        <v>121</v>
      </c>
      <c r="H39" s="38" t="s">
        <v>165</v>
      </c>
      <c r="I39" s="38" t="s">
        <v>154</v>
      </c>
      <c r="J39" s="39"/>
      <c r="K39" s="38" t="str">
        <f>"70,0"</f>
        <v>70,0</v>
      </c>
      <c r="L39" s="38" t="str">
        <f>"40,5409"</f>
        <v>40,5409</v>
      </c>
      <c r="M39" s="33" t="s">
        <v>20</v>
      </c>
    </row>
    <row r="41" spans="5:6" ht="15">
      <c r="E41" s="19" t="s">
        <v>84</v>
      </c>
      <c r="F41" s="4" t="s">
        <v>613</v>
      </c>
    </row>
    <row r="42" spans="5:6" ht="15">
      <c r="E42" s="19" t="s">
        <v>85</v>
      </c>
      <c r="F42" s="4" t="s">
        <v>614</v>
      </c>
    </row>
    <row r="43" spans="5:6" ht="15">
      <c r="E43" s="19" t="s">
        <v>86</v>
      </c>
      <c r="F43" s="4" t="s">
        <v>613</v>
      </c>
    </row>
    <row r="44" spans="5:6" ht="15">
      <c r="E44" s="19" t="s">
        <v>87</v>
      </c>
      <c r="F44" s="4" t="s">
        <v>323</v>
      </c>
    </row>
    <row r="45" spans="5:6" ht="15">
      <c r="E45" s="19" t="s">
        <v>87</v>
      </c>
      <c r="F45" s="4" t="s">
        <v>615</v>
      </c>
    </row>
    <row r="46" ht="15">
      <c r="E46" s="46"/>
    </row>
    <row r="47" ht="15">
      <c r="E47" s="46"/>
    </row>
    <row r="49" spans="1:2" ht="18">
      <c r="A49" s="47" t="s">
        <v>88</v>
      </c>
      <c r="B49" s="47"/>
    </row>
    <row r="50" spans="1:2" ht="15">
      <c r="A50" s="48" t="s">
        <v>98</v>
      </c>
      <c r="B50" s="48"/>
    </row>
    <row r="51" spans="1:2" ht="14.25">
      <c r="A51" s="50"/>
      <c r="B51" s="51" t="s">
        <v>100</v>
      </c>
    </row>
    <row r="52" spans="1:5" ht="15">
      <c r="A52" s="52" t="s">
        <v>91</v>
      </c>
      <c r="B52" s="52" t="s">
        <v>92</v>
      </c>
      <c r="C52" s="52" t="s">
        <v>93</v>
      </c>
      <c r="D52" s="52" t="s">
        <v>94</v>
      </c>
      <c r="E52" s="52" t="s">
        <v>95</v>
      </c>
    </row>
    <row r="53" spans="1:5" ht="12.75">
      <c r="A53" s="49" t="s">
        <v>546</v>
      </c>
      <c r="B53" s="37" t="s">
        <v>101</v>
      </c>
      <c r="C53" s="37" t="s">
        <v>99</v>
      </c>
      <c r="D53" s="37" t="s">
        <v>81</v>
      </c>
      <c r="E53" s="53" t="s">
        <v>571</v>
      </c>
    </row>
    <row r="55" spans="1:2" ht="14.25">
      <c r="A55" s="50"/>
      <c r="B55" s="51" t="s">
        <v>90</v>
      </c>
    </row>
    <row r="56" spans="1:5" ht="15">
      <c r="A56" s="52" t="s">
        <v>91</v>
      </c>
      <c r="B56" s="52" t="s">
        <v>92</v>
      </c>
      <c r="C56" s="52" t="s">
        <v>93</v>
      </c>
      <c r="D56" s="52" t="s">
        <v>94</v>
      </c>
      <c r="E56" s="52" t="s">
        <v>95</v>
      </c>
    </row>
    <row r="57" spans="1:5" ht="12.75">
      <c r="A57" s="49" t="s">
        <v>178</v>
      </c>
      <c r="B57" s="37" t="s">
        <v>90</v>
      </c>
      <c r="C57" s="37" t="s">
        <v>97</v>
      </c>
      <c r="D57" s="37" t="s">
        <v>128</v>
      </c>
      <c r="E57" s="53" t="s">
        <v>572</v>
      </c>
    </row>
  </sheetData>
  <sheetProtection/>
  <mergeCells count="17"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A38:L38"/>
    <mergeCell ref="A5:L5"/>
    <mergeCell ref="A8:L8"/>
    <mergeCell ref="A12:L12"/>
    <mergeCell ref="A21:L21"/>
    <mergeCell ref="A32:L3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4">
      <selection activeCell="A18" sqref="A18"/>
    </sheetView>
  </sheetViews>
  <sheetFormatPr defaultColWidth="9.00390625" defaultRowHeight="12.75"/>
  <cols>
    <col min="1" max="1" width="22.00390625" style="0" customWidth="1"/>
    <col min="2" max="2" width="30.75390625" style="0" customWidth="1"/>
    <col min="3" max="3" width="13.375" style="0" customWidth="1"/>
    <col min="4" max="4" width="10.875" style="0" customWidth="1"/>
    <col min="6" max="6" width="23.00390625" style="0" customWidth="1"/>
  </cols>
  <sheetData>
    <row r="1" spans="1:11" ht="12.75" customHeight="1">
      <c r="A1" s="160" t="s">
        <v>723</v>
      </c>
      <c r="B1" s="189"/>
      <c r="C1" s="189"/>
      <c r="D1" s="189"/>
      <c r="E1" s="189"/>
      <c r="F1" s="189"/>
      <c r="G1" s="189"/>
      <c r="H1" s="189"/>
      <c r="I1" s="189"/>
      <c r="J1" s="189"/>
      <c r="K1" s="190"/>
    </row>
    <row r="2" spans="1:11" ht="108" customHeight="1" thickBot="1">
      <c r="A2" s="191"/>
      <c r="B2" s="192"/>
      <c r="C2" s="192"/>
      <c r="D2" s="192"/>
      <c r="E2" s="192"/>
      <c r="F2" s="192"/>
      <c r="G2" s="192"/>
      <c r="H2" s="192"/>
      <c r="I2" s="192"/>
      <c r="J2" s="192"/>
      <c r="K2" s="193"/>
    </row>
    <row r="3" spans="1:11" ht="30">
      <c r="A3" s="203" t="s">
        <v>0</v>
      </c>
      <c r="B3" s="203" t="s">
        <v>5</v>
      </c>
      <c r="C3" s="203" t="s">
        <v>6</v>
      </c>
      <c r="D3" s="203" t="s">
        <v>663</v>
      </c>
      <c r="E3" s="203" t="s">
        <v>3</v>
      </c>
      <c r="F3" s="206" t="s">
        <v>7</v>
      </c>
      <c r="G3" s="146" t="s">
        <v>619</v>
      </c>
      <c r="H3" s="146"/>
      <c r="I3" s="203" t="s">
        <v>621</v>
      </c>
      <c r="J3" s="203" t="s">
        <v>2</v>
      </c>
      <c r="K3" s="203" t="s">
        <v>1</v>
      </c>
    </row>
    <row r="4" spans="1:11" ht="15">
      <c r="A4" s="204"/>
      <c r="B4" s="204"/>
      <c r="C4" s="204"/>
      <c r="D4" s="204"/>
      <c r="E4" s="204"/>
      <c r="F4" s="203"/>
      <c r="G4" s="96" t="s">
        <v>622</v>
      </c>
      <c r="H4" s="96" t="s">
        <v>620</v>
      </c>
      <c r="I4" s="204"/>
      <c r="J4" s="204"/>
      <c r="K4" s="204"/>
    </row>
    <row r="5" spans="1:11" ht="15">
      <c r="A5" s="205" t="s">
        <v>664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</row>
    <row r="6" spans="1:11" ht="15">
      <c r="A6" s="101" t="s">
        <v>665</v>
      </c>
      <c r="B6" s="104" t="s">
        <v>666</v>
      </c>
      <c r="C6" s="99" t="s">
        <v>667</v>
      </c>
      <c r="D6" s="99" t="s">
        <v>668</v>
      </c>
      <c r="E6" s="99" t="s">
        <v>15</v>
      </c>
      <c r="F6" s="99" t="s">
        <v>16</v>
      </c>
      <c r="G6" s="99" t="s">
        <v>97</v>
      </c>
      <c r="H6" s="99" t="s">
        <v>669</v>
      </c>
      <c r="I6" s="99">
        <v>2220</v>
      </c>
      <c r="J6" s="99">
        <v>2143.41</v>
      </c>
      <c r="K6" s="99" t="s">
        <v>20</v>
      </c>
    </row>
    <row r="7" spans="1:11" ht="1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1" ht="15">
      <c r="A8" s="205" t="s">
        <v>670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</row>
    <row r="9" spans="1:11" ht="15.75">
      <c r="A9" s="100" t="s">
        <v>671</v>
      </c>
      <c r="B9" s="104" t="s">
        <v>672</v>
      </c>
      <c r="C9" s="99" t="s">
        <v>673</v>
      </c>
      <c r="D9" s="99" t="s">
        <v>674</v>
      </c>
      <c r="E9" s="99" t="s">
        <v>15</v>
      </c>
      <c r="F9" s="99" t="s">
        <v>16</v>
      </c>
      <c r="G9" s="99">
        <v>70</v>
      </c>
      <c r="H9" s="99" t="s">
        <v>675</v>
      </c>
      <c r="I9" s="99">
        <v>1890</v>
      </c>
      <c r="J9" s="99">
        <v>1636.9289999999999</v>
      </c>
      <c r="K9" s="99"/>
    </row>
    <row r="10" spans="1:11" ht="15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1" spans="1:11" ht="15">
      <c r="A11" s="205" t="s">
        <v>676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</row>
    <row r="12" spans="1:11" ht="15">
      <c r="A12" s="101" t="s">
        <v>677</v>
      </c>
      <c r="B12" s="104" t="s">
        <v>678</v>
      </c>
      <c r="C12" s="99" t="s">
        <v>679</v>
      </c>
      <c r="D12" s="99" t="s">
        <v>680</v>
      </c>
      <c r="E12" s="99" t="s">
        <v>15</v>
      </c>
      <c r="F12" s="99" t="s">
        <v>16</v>
      </c>
      <c r="G12" s="99">
        <v>82.5</v>
      </c>
      <c r="H12" s="99" t="s">
        <v>681</v>
      </c>
      <c r="I12" s="99">
        <v>1402.5</v>
      </c>
      <c r="J12" s="99">
        <v>1079.0835</v>
      </c>
      <c r="K12" s="99"/>
    </row>
    <row r="13" spans="1:11" ht="15">
      <c r="A13" s="97"/>
      <c r="B13" s="98"/>
      <c r="C13" s="99"/>
      <c r="D13" s="99"/>
      <c r="E13" s="99"/>
      <c r="F13" s="99"/>
      <c r="G13" s="99"/>
      <c r="H13" s="99"/>
      <c r="I13" s="99"/>
      <c r="J13" s="99"/>
      <c r="K13" s="99"/>
    </row>
    <row r="14" spans="1:11" ht="15">
      <c r="A14" s="205" t="s">
        <v>682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</row>
    <row r="15" spans="1:11" ht="15">
      <c r="A15" s="101" t="s">
        <v>424</v>
      </c>
      <c r="B15" s="104" t="s">
        <v>683</v>
      </c>
      <c r="C15" s="99" t="s">
        <v>684</v>
      </c>
      <c r="D15" s="99" t="s">
        <v>685</v>
      </c>
      <c r="E15" s="99" t="s">
        <v>15</v>
      </c>
      <c r="F15" s="99" t="s">
        <v>16</v>
      </c>
      <c r="G15" s="99" t="s">
        <v>474</v>
      </c>
      <c r="H15" s="99" t="s">
        <v>686</v>
      </c>
      <c r="I15" s="99">
        <v>2090</v>
      </c>
      <c r="J15" s="99">
        <v>1463.6270000000002</v>
      </c>
      <c r="K15" s="99"/>
    </row>
    <row r="16" spans="1:11" ht="1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</row>
    <row r="17" spans="1:11" ht="15">
      <c r="A17" s="205" t="s">
        <v>687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</row>
    <row r="18" spans="1:11" ht="15">
      <c r="A18" s="101" t="s">
        <v>688</v>
      </c>
      <c r="B18" s="105" t="s">
        <v>109</v>
      </c>
      <c r="C18" s="99" t="s">
        <v>110</v>
      </c>
      <c r="D18" s="99" t="s">
        <v>689</v>
      </c>
      <c r="E18" s="99" t="s">
        <v>15</v>
      </c>
      <c r="F18" s="99" t="s">
        <v>16</v>
      </c>
      <c r="G18" s="99" t="s">
        <v>103</v>
      </c>
      <c r="H18" s="99" t="s">
        <v>690</v>
      </c>
      <c r="I18" s="99">
        <v>1710</v>
      </c>
      <c r="J18" s="99">
        <v>1232.055</v>
      </c>
      <c r="K18" s="99"/>
    </row>
    <row r="19" spans="1:11" ht="15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</row>
    <row r="21" spans="1:11" ht="15.75">
      <c r="A21" s="95"/>
      <c r="B21" s="95"/>
      <c r="C21" s="95"/>
      <c r="D21" s="95"/>
      <c r="E21" s="95"/>
      <c r="F21" s="102" t="s">
        <v>84</v>
      </c>
      <c r="G21" s="103" t="s">
        <v>613</v>
      </c>
      <c r="H21" s="95"/>
      <c r="I21" s="95"/>
      <c r="J21" s="95"/>
      <c r="K21" s="95"/>
    </row>
    <row r="22" spans="1:11" ht="15.75">
      <c r="A22" s="95"/>
      <c r="B22" s="95"/>
      <c r="C22" s="95"/>
      <c r="D22" s="95"/>
      <c r="E22" s="95"/>
      <c r="F22" s="102" t="s">
        <v>85</v>
      </c>
      <c r="G22" s="103" t="s">
        <v>614</v>
      </c>
      <c r="H22" s="95"/>
      <c r="I22" s="95"/>
      <c r="J22" s="95"/>
      <c r="K22" s="95"/>
    </row>
    <row r="23" spans="1:11" ht="15.75">
      <c r="A23" s="95"/>
      <c r="B23" s="95"/>
      <c r="C23" s="95"/>
      <c r="D23" s="95"/>
      <c r="E23" s="95"/>
      <c r="F23" s="102" t="s">
        <v>86</v>
      </c>
      <c r="G23" s="103" t="s">
        <v>613</v>
      </c>
      <c r="H23" s="95"/>
      <c r="I23" s="95"/>
      <c r="J23" s="95"/>
      <c r="K23" s="95"/>
    </row>
    <row r="24" spans="1:11" ht="15.75">
      <c r="A24" s="95"/>
      <c r="B24" s="95"/>
      <c r="C24" s="95"/>
      <c r="D24" s="95"/>
      <c r="E24" s="95"/>
      <c r="F24" s="102" t="s">
        <v>87</v>
      </c>
      <c r="G24" s="103" t="s">
        <v>323</v>
      </c>
      <c r="H24" s="95"/>
      <c r="I24" s="95"/>
      <c r="J24" s="95"/>
      <c r="K24" s="95"/>
    </row>
    <row r="25" spans="1:11" ht="15.75">
      <c r="A25" s="95"/>
      <c r="B25" s="95"/>
      <c r="C25" s="95"/>
      <c r="D25" s="95"/>
      <c r="E25" s="95"/>
      <c r="F25" s="102" t="s">
        <v>87</v>
      </c>
      <c r="G25" s="103" t="s">
        <v>615</v>
      </c>
      <c r="H25" s="95"/>
      <c r="I25" s="95"/>
      <c r="J25" s="95"/>
      <c r="K25" s="95"/>
    </row>
  </sheetData>
  <sheetProtection/>
  <mergeCells count="15">
    <mergeCell ref="A14:K14"/>
    <mergeCell ref="A17:K17"/>
    <mergeCell ref="A5:K5"/>
    <mergeCell ref="F3:F4"/>
    <mergeCell ref="A8:K8"/>
    <mergeCell ref="A11:K11"/>
    <mergeCell ref="A1:K2"/>
    <mergeCell ref="I3:I4"/>
    <mergeCell ref="J3:J4"/>
    <mergeCell ref="K3:K4"/>
    <mergeCell ref="E3:E4"/>
    <mergeCell ref="D3:D4"/>
    <mergeCell ref="C3:C4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43">
      <selection activeCell="E33" sqref="E33"/>
    </sheetView>
  </sheetViews>
  <sheetFormatPr defaultColWidth="9.00390625" defaultRowHeight="12.75"/>
  <cols>
    <col min="1" max="1" width="21.75390625" style="0" customWidth="1"/>
    <col min="2" max="2" width="30.875" style="0" customWidth="1"/>
    <col min="3" max="3" width="12.625" style="0" customWidth="1"/>
    <col min="5" max="5" width="23.625" style="0" customWidth="1"/>
    <col min="6" max="6" width="14.375" style="0" customWidth="1"/>
  </cols>
  <sheetData>
    <row r="1" spans="1:10" ht="12.75" customHeight="1">
      <c r="A1" s="160" t="s">
        <v>724</v>
      </c>
      <c r="B1" s="189"/>
      <c r="C1" s="189"/>
      <c r="D1" s="189"/>
      <c r="E1" s="189"/>
      <c r="F1" s="189"/>
      <c r="G1" s="189"/>
      <c r="H1" s="189"/>
      <c r="I1" s="189"/>
      <c r="J1" s="190"/>
    </row>
    <row r="2" spans="1:10" ht="112.5" customHeight="1" thickBot="1">
      <c r="A2" s="191"/>
      <c r="B2" s="192"/>
      <c r="C2" s="192"/>
      <c r="D2" s="192"/>
      <c r="E2" s="192"/>
      <c r="F2" s="192"/>
      <c r="G2" s="192"/>
      <c r="H2" s="192"/>
      <c r="I2" s="192"/>
      <c r="J2" s="193"/>
    </row>
    <row r="3" spans="1:10" ht="21" customHeight="1">
      <c r="A3" s="180" t="s">
        <v>715</v>
      </c>
      <c r="B3" s="181"/>
      <c r="C3" s="181"/>
      <c r="D3" s="181"/>
      <c r="E3" s="181"/>
      <c r="F3" s="181"/>
      <c r="G3" s="181"/>
      <c r="H3" s="181"/>
      <c r="I3" s="181"/>
      <c r="J3" s="182"/>
    </row>
    <row r="4" spans="1:10" ht="30">
      <c r="A4" s="178" t="s">
        <v>0</v>
      </c>
      <c r="B4" s="178" t="s">
        <v>5</v>
      </c>
      <c r="C4" s="178" t="s">
        <v>6</v>
      </c>
      <c r="D4" s="178" t="s">
        <v>3</v>
      </c>
      <c r="E4" s="106" t="s">
        <v>7</v>
      </c>
      <c r="F4" s="106" t="s">
        <v>691</v>
      </c>
      <c r="G4" s="176" t="s">
        <v>620</v>
      </c>
      <c r="H4" s="178" t="s">
        <v>621</v>
      </c>
      <c r="I4" s="178" t="s">
        <v>2</v>
      </c>
      <c r="J4" s="178" t="s">
        <v>1</v>
      </c>
    </row>
    <row r="5" spans="1:10" ht="15">
      <c r="A5" s="179"/>
      <c r="B5" s="179"/>
      <c r="C5" s="179"/>
      <c r="D5" s="179"/>
      <c r="E5" s="107"/>
      <c r="F5" s="107" t="s">
        <v>622</v>
      </c>
      <c r="G5" s="177"/>
      <c r="H5" s="179"/>
      <c r="I5" s="179"/>
      <c r="J5" s="179"/>
    </row>
    <row r="6" spans="1:10" ht="15">
      <c r="A6" s="183" t="s">
        <v>692</v>
      </c>
      <c r="B6" s="184"/>
      <c r="C6" s="184"/>
      <c r="D6" s="184"/>
      <c r="E6" s="184"/>
      <c r="F6" s="184"/>
      <c r="G6" s="184"/>
      <c r="H6" s="184"/>
      <c r="I6" s="184"/>
      <c r="J6" s="185"/>
    </row>
    <row r="7" spans="1:10" ht="15">
      <c r="A7" s="111" t="s">
        <v>693</v>
      </c>
      <c r="B7" s="108" t="s">
        <v>694</v>
      </c>
      <c r="C7" s="108">
        <v>48</v>
      </c>
      <c r="D7" s="107" t="s">
        <v>15</v>
      </c>
      <c r="E7" s="107" t="s">
        <v>16</v>
      </c>
      <c r="F7" s="107">
        <v>55</v>
      </c>
      <c r="G7" s="107">
        <v>51</v>
      </c>
      <c r="H7" s="117">
        <v>2805</v>
      </c>
      <c r="I7" s="107">
        <v>58.4375</v>
      </c>
      <c r="J7" s="107" t="s">
        <v>20</v>
      </c>
    </row>
    <row r="8" spans="1:10" ht="15">
      <c r="A8" s="112"/>
      <c r="B8" s="110"/>
      <c r="C8" s="110"/>
      <c r="D8" s="113"/>
      <c r="E8" s="113"/>
      <c r="F8" s="113"/>
      <c r="G8" s="113"/>
      <c r="H8" s="113"/>
      <c r="I8" s="113"/>
      <c r="J8" s="114"/>
    </row>
    <row r="9" spans="1:10" ht="15">
      <c r="A9" s="183" t="s">
        <v>695</v>
      </c>
      <c r="B9" s="184"/>
      <c r="C9" s="184"/>
      <c r="D9" s="184"/>
      <c r="E9" s="184"/>
      <c r="F9" s="184"/>
      <c r="G9" s="184"/>
      <c r="H9" s="184"/>
      <c r="I9" s="184"/>
      <c r="J9" s="185"/>
    </row>
    <row r="10" spans="1:10" ht="15">
      <c r="A10" s="107" t="s">
        <v>696</v>
      </c>
      <c r="B10" s="109" t="s">
        <v>697</v>
      </c>
      <c r="C10" s="108">
        <v>51.8</v>
      </c>
      <c r="D10" s="107" t="s">
        <v>15</v>
      </c>
      <c r="E10" s="107" t="s">
        <v>16</v>
      </c>
      <c r="F10" s="107">
        <v>55</v>
      </c>
      <c r="G10" s="107">
        <v>51</v>
      </c>
      <c r="H10" s="117">
        <v>2805</v>
      </c>
      <c r="I10" s="107">
        <v>54.150579150579155</v>
      </c>
      <c r="J10" s="107" t="s">
        <v>20</v>
      </c>
    </row>
    <row r="11" spans="1:10" ht="15">
      <c r="A11" s="115"/>
      <c r="B11" s="116"/>
      <c r="C11" s="110"/>
      <c r="D11" s="113"/>
      <c r="E11" s="113"/>
      <c r="F11" s="113"/>
      <c r="G11" s="113"/>
      <c r="H11" s="113"/>
      <c r="I11" s="113"/>
      <c r="J11" s="114"/>
    </row>
    <row r="12" spans="1:10" ht="15">
      <c r="A12" s="183" t="s">
        <v>698</v>
      </c>
      <c r="B12" s="184"/>
      <c r="C12" s="184"/>
      <c r="D12" s="184"/>
      <c r="E12" s="184"/>
      <c r="F12" s="184"/>
      <c r="G12" s="184"/>
      <c r="H12" s="184"/>
      <c r="I12" s="184"/>
      <c r="J12" s="185"/>
    </row>
    <row r="13" spans="1:10" ht="15">
      <c r="A13" s="107" t="s">
        <v>699</v>
      </c>
      <c r="B13" s="108" t="s">
        <v>700</v>
      </c>
      <c r="C13" s="108">
        <v>59.5</v>
      </c>
      <c r="D13" s="107" t="s">
        <v>15</v>
      </c>
      <c r="E13" s="107" t="s">
        <v>16</v>
      </c>
      <c r="F13" s="107">
        <v>55</v>
      </c>
      <c r="G13" s="107">
        <v>67</v>
      </c>
      <c r="H13" s="117">
        <v>3685</v>
      </c>
      <c r="I13" s="107">
        <v>61.9327731092437</v>
      </c>
      <c r="J13" s="107"/>
    </row>
    <row r="14" spans="1:10" ht="15">
      <c r="A14" s="107" t="s">
        <v>701</v>
      </c>
      <c r="B14" s="108" t="s">
        <v>702</v>
      </c>
      <c r="C14" s="108">
        <v>58.2</v>
      </c>
      <c r="D14" s="107" t="s">
        <v>15</v>
      </c>
      <c r="E14" s="107" t="s">
        <v>16</v>
      </c>
      <c r="F14" s="107">
        <v>55</v>
      </c>
      <c r="G14" s="107">
        <v>64</v>
      </c>
      <c r="H14" s="117">
        <v>3520</v>
      </c>
      <c r="I14" s="107">
        <v>60.48109965635739</v>
      </c>
      <c r="J14" s="107"/>
    </row>
    <row r="16" spans="1:10" ht="15.75">
      <c r="A16" s="180" t="s">
        <v>716</v>
      </c>
      <c r="B16" s="181"/>
      <c r="C16" s="181"/>
      <c r="D16" s="181"/>
      <c r="E16" s="181"/>
      <c r="F16" s="181"/>
      <c r="G16" s="181"/>
      <c r="H16" s="181"/>
      <c r="I16" s="181"/>
      <c r="J16" s="182"/>
    </row>
    <row r="17" spans="1:10" ht="30">
      <c r="A17" s="207" t="s">
        <v>0</v>
      </c>
      <c r="B17" s="207" t="s">
        <v>5</v>
      </c>
      <c r="C17" s="207" t="s">
        <v>6</v>
      </c>
      <c r="D17" s="207" t="s">
        <v>3</v>
      </c>
      <c r="E17" s="118" t="s">
        <v>7</v>
      </c>
      <c r="F17" s="118" t="s">
        <v>691</v>
      </c>
      <c r="G17" s="208" t="s">
        <v>620</v>
      </c>
      <c r="H17" s="207" t="s">
        <v>621</v>
      </c>
      <c r="I17" s="207" t="s">
        <v>2</v>
      </c>
      <c r="J17" s="207" t="s">
        <v>1</v>
      </c>
    </row>
    <row r="18" spans="1:10" ht="15">
      <c r="A18" s="207"/>
      <c r="B18" s="207"/>
      <c r="C18" s="207"/>
      <c r="D18" s="207"/>
      <c r="E18" s="119"/>
      <c r="F18" s="119" t="s">
        <v>622</v>
      </c>
      <c r="G18" s="208"/>
      <c r="H18" s="207"/>
      <c r="I18" s="207"/>
      <c r="J18" s="207"/>
    </row>
    <row r="19" spans="1:10" ht="15">
      <c r="A19" s="208" t="s">
        <v>185</v>
      </c>
      <c r="B19" s="208"/>
      <c r="C19" s="208"/>
      <c r="D19" s="208"/>
      <c r="E19" s="208"/>
      <c r="F19" s="208"/>
      <c r="G19" s="208"/>
      <c r="H19" s="208"/>
      <c r="I19" s="208"/>
      <c r="J19" s="208"/>
    </row>
    <row r="20" spans="1:10" ht="15">
      <c r="A20" s="119" t="s">
        <v>655</v>
      </c>
      <c r="B20" s="120" t="s">
        <v>703</v>
      </c>
      <c r="C20" s="121">
        <v>74.75</v>
      </c>
      <c r="D20" s="119" t="s">
        <v>15</v>
      </c>
      <c r="E20" s="119" t="s">
        <v>16</v>
      </c>
      <c r="F20" s="124">
        <v>100</v>
      </c>
      <c r="G20" s="119">
        <v>42</v>
      </c>
      <c r="H20" s="125">
        <v>4200</v>
      </c>
      <c r="I20" s="119">
        <v>56.187290969899664</v>
      </c>
      <c r="J20" s="119"/>
    </row>
    <row r="21" spans="1:10" ht="15">
      <c r="A21" s="119" t="s">
        <v>704</v>
      </c>
      <c r="B21" s="120" t="s">
        <v>705</v>
      </c>
      <c r="C21" s="121">
        <v>72.65</v>
      </c>
      <c r="D21" s="119" t="s">
        <v>15</v>
      </c>
      <c r="E21" s="119" t="s">
        <v>16</v>
      </c>
      <c r="F21" s="119" t="s">
        <v>399</v>
      </c>
      <c r="G21" s="119">
        <v>36</v>
      </c>
      <c r="H21" s="125">
        <v>3600</v>
      </c>
      <c r="I21" s="119">
        <v>49.55264969029594</v>
      </c>
      <c r="J21" s="119" t="s">
        <v>20</v>
      </c>
    </row>
    <row r="23" spans="1:10" ht="15">
      <c r="A23" s="119"/>
      <c r="B23" s="120"/>
      <c r="C23" s="121"/>
      <c r="D23" s="119"/>
      <c r="E23" s="119"/>
      <c r="F23" s="119"/>
      <c r="G23" s="119"/>
      <c r="H23" s="119"/>
      <c r="I23" s="119"/>
      <c r="J23" s="119"/>
    </row>
    <row r="24" spans="1:10" ht="15">
      <c r="A24" s="208" t="s">
        <v>51</v>
      </c>
      <c r="B24" s="208"/>
      <c r="C24" s="208"/>
      <c r="D24" s="208"/>
      <c r="E24" s="208"/>
      <c r="F24" s="208"/>
      <c r="G24" s="208"/>
      <c r="H24" s="208"/>
      <c r="I24" s="208"/>
      <c r="J24" s="208"/>
    </row>
    <row r="25" spans="1:10" ht="15">
      <c r="A25" s="122" t="s">
        <v>706</v>
      </c>
      <c r="B25" s="123" t="s">
        <v>707</v>
      </c>
      <c r="C25" s="121">
        <v>88.2</v>
      </c>
      <c r="D25" s="119" t="s">
        <v>15</v>
      </c>
      <c r="E25" s="119" t="s">
        <v>16</v>
      </c>
      <c r="F25" s="119" t="s">
        <v>708</v>
      </c>
      <c r="G25" s="119">
        <v>46</v>
      </c>
      <c r="H25" s="125">
        <v>4604.599999999999</v>
      </c>
      <c r="I25" s="119">
        <v>52.206349206349195</v>
      </c>
      <c r="J25" s="119"/>
    </row>
    <row r="26" spans="1:10" ht="15">
      <c r="A26" s="119" t="s">
        <v>709</v>
      </c>
      <c r="B26" s="121" t="s">
        <v>710</v>
      </c>
      <c r="C26" s="120">
        <v>90</v>
      </c>
      <c r="D26" s="119" t="s">
        <v>15</v>
      </c>
      <c r="E26" s="119" t="s">
        <v>16</v>
      </c>
      <c r="F26" s="119" t="s">
        <v>399</v>
      </c>
      <c r="G26" s="119">
        <v>31</v>
      </c>
      <c r="H26" s="125">
        <v>3100</v>
      </c>
      <c r="I26" s="119">
        <v>34.44444444444444</v>
      </c>
      <c r="J26" s="119" t="s">
        <v>20</v>
      </c>
    </row>
    <row r="27" spans="1:10" ht="15">
      <c r="A27" s="122" t="s">
        <v>711</v>
      </c>
      <c r="B27" s="120" t="s">
        <v>712</v>
      </c>
      <c r="C27" s="121">
        <v>87.8</v>
      </c>
      <c r="D27" s="119" t="s">
        <v>15</v>
      </c>
      <c r="E27" s="119" t="s">
        <v>16</v>
      </c>
      <c r="F27" s="119" t="s">
        <v>713</v>
      </c>
      <c r="G27" s="119">
        <v>49</v>
      </c>
      <c r="H27" s="125">
        <v>4909.8</v>
      </c>
      <c r="I27" s="119">
        <v>55.920273348519366</v>
      </c>
      <c r="J27" s="119"/>
    </row>
    <row r="28" spans="1:10" ht="15">
      <c r="A28" s="119"/>
      <c r="B28" s="119"/>
      <c r="C28" s="119"/>
      <c r="D28" s="119"/>
      <c r="E28" s="119"/>
      <c r="F28" s="119"/>
      <c r="G28" s="119"/>
      <c r="H28" s="119"/>
      <c r="I28" s="119"/>
      <c r="J28" s="119"/>
    </row>
    <row r="29" spans="1:10" ht="15">
      <c r="A29" s="208" t="s">
        <v>77</v>
      </c>
      <c r="B29" s="208"/>
      <c r="C29" s="208"/>
      <c r="D29" s="208"/>
      <c r="E29" s="208"/>
      <c r="F29" s="208"/>
      <c r="G29" s="208"/>
      <c r="H29" s="208"/>
      <c r="I29" s="208"/>
      <c r="J29" s="208"/>
    </row>
    <row r="30" spans="1:10" ht="15">
      <c r="A30" s="119" t="s">
        <v>310</v>
      </c>
      <c r="B30" s="120" t="s">
        <v>714</v>
      </c>
      <c r="C30" s="121">
        <v>108.45</v>
      </c>
      <c r="D30" s="119" t="s">
        <v>15</v>
      </c>
      <c r="E30" s="119" t="s">
        <v>16</v>
      </c>
      <c r="F30" s="119" t="s">
        <v>399</v>
      </c>
      <c r="G30" s="119">
        <v>47</v>
      </c>
      <c r="H30" s="125">
        <v>4700</v>
      </c>
      <c r="I30" s="119">
        <v>43.337943752881515</v>
      </c>
      <c r="J30" s="119"/>
    </row>
    <row r="32" spans="1:10" ht="15.75">
      <c r="A32" s="180" t="s">
        <v>718</v>
      </c>
      <c r="B32" s="181"/>
      <c r="C32" s="181"/>
      <c r="D32" s="181"/>
      <c r="E32" s="181"/>
      <c r="F32" s="181"/>
      <c r="G32" s="181"/>
      <c r="H32" s="181"/>
      <c r="I32" s="181"/>
      <c r="J32" s="182"/>
    </row>
    <row r="33" spans="1:10" ht="30">
      <c r="A33" s="178" t="s">
        <v>0</v>
      </c>
      <c r="B33" s="178" t="s">
        <v>5</v>
      </c>
      <c r="C33" s="178" t="s">
        <v>6</v>
      </c>
      <c r="D33" s="178" t="s">
        <v>3</v>
      </c>
      <c r="E33" s="126" t="s">
        <v>7</v>
      </c>
      <c r="F33" s="126" t="s">
        <v>691</v>
      </c>
      <c r="G33" s="176" t="s">
        <v>620</v>
      </c>
      <c r="H33" s="178" t="s">
        <v>621</v>
      </c>
      <c r="I33" s="178" t="s">
        <v>2</v>
      </c>
      <c r="J33" s="178" t="s">
        <v>1</v>
      </c>
    </row>
    <row r="34" spans="1:10" ht="15">
      <c r="A34" s="179"/>
      <c r="B34" s="179"/>
      <c r="C34" s="179"/>
      <c r="D34" s="179"/>
      <c r="E34" s="127"/>
      <c r="F34" s="127" t="s">
        <v>622</v>
      </c>
      <c r="G34" s="177"/>
      <c r="H34" s="179"/>
      <c r="I34" s="179"/>
      <c r="J34" s="179"/>
    </row>
    <row r="35" spans="1:10" ht="15">
      <c r="A35" s="183" t="s">
        <v>51</v>
      </c>
      <c r="B35" s="184"/>
      <c r="C35" s="184"/>
      <c r="D35" s="184"/>
      <c r="E35" s="184"/>
      <c r="F35" s="184"/>
      <c r="G35" s="184"/>
      <c r="H35" s="184"/>
      <c r="I35" s="184"/>
      <c r="J35" s="185"/>
    </row>
    <row r="36" spans="1:10" ht="15">
      <c r="A36" s="129" t="s">
        <v>717</v>
      </c>
      <c r="B36" s="99" t="s">
        <v>416</v>
      </c>
      <c r="C36" s="128">
        <v>88.2</v>
      </c>
      <c r="D36" s="127" t="s">
        <v>15</v>
      </c>
      <c r="E36" s="127" t="s">
        <v>16</v>
      </c>
      <c r="F36" s="131">
        <v>150</v>
      </c>
      <c r="G36" s="127">
        <v>22</v>
      </c>
      <c r="H36" s="130">
        <v>3300</v>
      </c>
      <c r="I36" s="127">
        <v>37.414965986394556</v>
      </c>
      <c r="J36" s="127" t="s">
        <v>20</v>
      </c>
    </row>
    <row r="38" spans="1:10" ht="15.75">
      <c r="A38" s="180" t="s">
        <v>725</v>
      </c>
      <c r="B38" s="181"/>
      <c r="C38" s="181"/>
      <c r="D38" s="181"/>
      <c r="E38" s="181"/>
      <c r="F38" s="181"/>
      <c r="G38" s="181"/>
      <c r="H38" s="181"/>
      <c r="I38" s="181"/>
      <c r="J38" s="182"/>
    </row>
    <row r="39" spans="1:10" ht="30">
      <c r="A39" s="178" t="s">
        <v>0</v>
      </c>
      <c r="B39" s="178" t="s">
        <v>5</v>
      </c>
      <c r="C39" s="178" t="s">
        <v>6</v>
      </c>
      <c r="D39" s="178" t="s">
        <v>3</v>
      </c>
      <c r="E39" s="132" t="s">
        <v>7</v>
      </c>
      <c r="F39" s="132" t="s">
        <v>691</v>
      </c>
      <c r="G39" s="176" t="s">
        <v>620</v>
      </c>
      <c r="H39" s="178" t="s">
        <v>621</v>
      </c>
      <c r="I39" s="178" t="s">
        <v>2</v>
      </c>
      <c r="J39" s="178" t="s">
        <v>1</v>
      </c>
    </row>
    <row r="40" spans="1:10" ht="15">
      <c r="A40" s="179"/>
      <c r="B40" s="179"/>
      <c r="C40" s="179"/>
      <c r="D40" s="179"/>
      <c r="E40" s="133"/>
      <c r="F40" s="133" t="s">
        <v>622</v>
      </c>
      <c r="G40" s="177"/>
      <c r="H40" s="179"/>
      <c r="I40" s="179"/>
      <c r="J40" s="179"/>
    </row>
    <row r="41" spans="1:10" ht="15">
      <c r="A41" s="183" t="s">
        <v>62</v>
      </c>
      <c r="B41" s="184"/>
      <c r="C41" s="184"/>
      <c r="D41" s="184"/>
      <c r="E41" s="184"/>
      <c r="F41" s="184"/>
      <c r="G41" s="184"/>
      <c r="H41" s="184"/>
      <c r="I41" s="184"/>
      <c r="J41" s="185"/>
    </row>
    <row r="42" spans="1:10" ht="15">
      <c r="A42" s="136" t="s">
        <v>424</v>
      </c>
      <c r="B42" s="134" t="s">
        <v>683</v>
      </c>
      <c r="C42" s="135">
        <v>94.5</v>
      </c>
      <c r="D42" s="133" t="s">
        <v>15</v>
      </c>
      <c r="E42" s="133" t="s">
        <v>16</v>
      </c>
      <c r="F42" s="138">
        <v>200</v>
      </c>
      <c r="G42" s="133">
        <v>13</v>
      </c>
      <c r="H42" s="137">
        <v>2600</v>
      </c>
      <c r="I42" s="133">
        <v>27.513227513227513</v>
      </c>
      <c r="J42" s="133" t="s">
        <v>20</v>
      </c>
    </row>
    <row r="44" spans="1:10" ht="15.75">
      <c r="A44" s="180" t="s">
        <v>721</v>
      </c>
      <c r="B44" s="181"/>
      <c r="C44" s="181"/>
      <c r="D44" s="181"/>
      <c r="E44" s="181"/>
      <c r="F44" s="181"/>
      <c r="G44" s="181"/>
      <c r="H44" s="181"/>
      <c r="I44" s="181"/>
      <c r="J44" s="182"/>
    </row>
    <row r="45" spans="1:10" ht="30">
      <c r="A45" s="178" t="s">
        <v>0</v>
      </c>
      <c r="B45" s="178" t="s">
        <v>5</v>
      </c>
      <c r="C45" s="178" t="s">
        <v>6</v>
      </c>
      <c r="D45" s="178" t="s">
        <v>3</v>
      </c>
      <c r="E45" s="140" t="s">
        <v>7</v>
      </c>
      <c r="F45" s="140" t="s">
        <v>691</v>
      </c>
      <c r="G45" s="176" t="s">
        <v>620</v>
      </c>
      <c r="H45" s="178" t="s">
        <v>621</v>
      </c>
      <c r="I45" s="178" t="s">
        <v>2</v>
      </c>
      <c r="J45" s="178" t="s">
        <v>1</v>
      </c>
    </row>
    <row r="46" spans="1:10" ht="15">
      <c r="A46" s="179"/>
      <c r="B46" s="179"/>
      <c r="C46" s="179"/>
      <c r="D46" s="179"/>
      <c r="E46" s="141"/>
      <c r="F46" s="141" t="s">
        <v>622</v>
      </c>
      <c r="G46" s="177"/>
      <c r="H46" s="179"/>
      <c r="I46" s="179"/>
      <c r="J46" s="179"/>
    </row>
    <row r="47" spans="1:10" ht="15">
      <c r="A47" s="183" t="s">
        <v>719</v>
      </c>
      <c r="B47" s="184"/>
      <c r="C47" s="184"/>
      <c r="D47" s="184"/>
      <c r="E47" s="184"/>
      <c r="F47" s="184"/>
      <c r="G47" s="184"/>
      <c r="H47" s="184"/>
      <c r="I47" s="184"/>
      <c r="J47" s="185"/>
    </row>
    <row r="48" spans="1:10" ht="15">
      <c r="A48" s="141" t="s">
        <v>108</v>
      </c>
      <c r="B48" s="142" t="s">
        <v>720</v>
      </c>
      <c r="C48" s="143">
        <v>89.15</v>
      </c>
      <c r="D48" s="141" t="s">
        <v>15</v>
      </c>
      <c r="E48" s="141" t="s">
        <v>16</v>
      </c>
      <c r="F48" s="141">
        <v>150</v>
      </c>
      <c r="G48" s="141">
        <v>24</v>
      </c>
      <c r="H48" s="141">
        <v>3600</v>
      </c>
      <c r="I48" s="141">
        <v>40.38137969713965</v>
      </c>
      <c r="J48" s="141" t="s">
        <v>20</v>
      </c>
    </row>
    <row r="50" spans="1:10" ht="15.75">
      <c r="A50" s="139"/>
      <c r="B50" s="139"/>
      <c r="C50" s="139"/>
      <c r="D50" s="139"/>
      <c r="E50" s="144" t="s">
        <v>84</v>
      </c>
      <c r="F50" s="145" t="s">
        <v>613</v>
      </c>
      <c r="G50" s="139"/>
      <c r="H50" s="139"/>
      <c r="I50" s="139"/>
      <c r="J50" s="139"/>
    </row>
    <row r="51" spans="1:10" ht="15.75">
      <c r="A51" s="139"/>
      <c r="B51" s="139"/>
      <c r="C51" s="139"/>
      <c r="D51" s="139"/>
      <c r="E51" s="144" t="s">
        <v>85</v>
      </c>
      <c r="F51" s="145" t="s">
        <v>614</v>
      </c>
      <c r="G51" s="139"/>
      <c r="H51" s="139"/>
      <c r="I51" s="139"/>
      <c r="J51" s="139"/>
    </row>
    <row r="52" spans="1:10" ht="15.75">
      <c r="A52" s="139"/>
      <c r="B52" s="139"/>
      <c r="C52" s="139"/>
      <c r="D52" s="139"/>
      <c r="E52" s="144" t="s">
        <v>86</v>
      </c>
      <c r="F52" s="145" t="s">
        <v>613</v>
      </c>
      <c r="G52" s="139"/>
      <c r="H52" s="139"/>
      <c r="I52" s="139"/>
      <c r="J52" s="139"/>
    </row>
    <row r="53" spans="1:10" ht="15.75">
      <c r="A53" s="139"/>
      <c r="B53" s="139"/>
      <c r="C53" s="139"/>
      <c r="D53" s="139"/>
      <c r="E53" s="144" t="s">
        <v>87</v>
      </c>
      <c r="F53" s="145" t="s">
        <v>323</v>
      </c>
      <c r="G53" s="139"/>
      <c r="H53" s="139"/>
      <c r="I53" s="139"/>
      <c r="J53" s="139"/>
    </row>
    <row r="54" spans="1:10" ht="15.75">
      <c r="A54" s="139"/>
      <c r="B54" s="139"/>
      <c r="C54" s="139"/>
      <c r="D54" s="139"/>
      <c r="E54" s="144" t="s">
        <v>87</v>
      </c>
      <c r="F54" s="145" t="s">
        <v>615</v>
      </c>
      <c r="G54" s="139"/>
      <c r="H54" s="139"/>
      <c r="I54" s="139"/>
      <c r="J54" s="139"/>
    </row>
    <row r="55" spans="5:6" ht="15.75">
      <c r="E55" s="144" t="s">
        <v>87</v>
      </c>
      <c r="F55" s="145" t="s">
        <v>339</v>
      </c>
    </row>
  </sheetData>
  <sheetProtection/>
  <mergeCells count="55">
    <mergeCell ref="H39:H40"/>
    <mergeCell ref="A1:J2"/>
    <mergeCell ref="A3:J3"/>
    <mergeCell ref="A6:J6"/>
    <mergeCell ref="A4:A5"/>
    <mergeCell ref="B4:B5"/>
    <mergeCell ref="C4:C5"/>
    <mergeCell ref="D4:D5"/>
    <mergeCell ref="G4:G5"/>
    <mergeCell ref="H4:H5"/>
    <mergeCell ref="I4:I5"/>
    <mergeCell ref="J4:J5"/>
    <mergeCell ref="A39:A40"/>
    <mergeCell ref="B39:B40"/>
    <mergeCell ref="C39:C40"/>
    <mergeCell ref="D39:D40"/>
    <mergeCell ref="G39:G40"/>
    <mergeCell ref="J17:J18"/>
    <mergeCell ref="A19:J19"/>
    <mergeCell ref="A17:A18"/>
    <mergeCell ref="I17:I18"/>
    <mergeCell ref="A38:J38"/>
    <mergeCell ref="H33:H34"/>
    <mergeCell ref="I33:I34"/>
    <mergeCell ref="J33:J34"/>
    <mergeCell ref="A32:J32"/>
    <mergeCell ref="A24:J24"/>
    <mergeCell ref="A29:J29"/>
    <mergeCell ref="A16:J16"/>
    <mergeCell ref="A9:J9"/>
    <mergeCell ref="I39:I40"/>
    <mergeCell ref="J39:J40"/>
    <mergeCell ref="B17:B18"/>
    <mergeCell ref="C17:C18"/>
    <mergeCell ref="D17:D18"/>
    <mergeCell ref="G17:G18"/>
    <mergeCell ref="H17:H18"/>
    <mergeCell ref="A12:J12"/>
    <mergeCell ref="A35:J35"/>
    <mergeCell ref="A33:A34"/>
    <mergeCell ref="B33:B34"/>
    <mergeCell ref="C33:C34"/>
    <mergeCell ref="D33:D34"/>
    <mergeCell ref="G33:G34"/>
    <mergeCell ref="A44:J44"/>
    <mergeCell ref="A41:J41"/>
    <mergeCell ref="A47:J47"/>
    <mergeCell ref="A45:A46"/>
    <mergeCell ref="B45:B46"/>
    <mergeCell ref="C45:C46"/>
    <mergeCell ref="D45:D46"/>
    <mergeCell ref="G45:G46"/>
    <mergeCell ref="H45:H46"/>
    <mergeCell ref="I45:I46"/>
    <mergeCell ref="J45:J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" sqref="A1:M2"/>
    </sheetView>
  </sheetViews>
  <sheetFormatPr defaultColWidth="9.125" defaultRowHeight="12.75"/>
  <cols>
    <col min="1" max="1" width="26.00390625" style="4" bestFit="1" customWidth="1"/>
    <col min="2" max="2" width="28.37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8.37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160" t="s">
        <v>510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spans="1:13" s="2" customFormat="1" ht="61.5" customHeight="1" thickBot="1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5"/>
    </row>
    <row r="3" spans="1:13" s="1" customFormat="1" ht="12.75" customHeight="1">
      <c r="A3" s="166" t="s">
        <v>0</v>
      </c>
      <c r="B3" s="168" t="s">
        <v>5</v>
      </c>
      <c r="C3" s="168" t="s">
        <v>6</v>
      </c>
      <c r="D3" s="170" t="s">
        <v>9</v>
      </c>
      <c r="E3" s="170" t="s">
        <v>3</v>
      </c>
      <c r="F3" s="170" t="s">
        <v>7</v>
      </c>
      <c r="G3" s="170" t="s">
        <v>511</v>
      </c>
      <c r="H3" s="170"/>
      <c r="I3" s="170"/>
      <c r="J3" s="170"/>
      <c r="K3" s="170" t="s">
        <v>106</v>
      </c>
      <c r="L3" s="170" t="s">
        <v>2</v>
      </c>
      <c r="M3" s="158" t="s">
        <v>1</v>
      </c>
    </row>
    <row r="4" spans="1:13" s="1" customFormat="1" ht="21" customHeight="1" thickBot="1">
      <c r="A4" s="167"/>
      <c r="B4" s="169"/>
      <c r="C4" s="169"/>
      <c r="D4" s="169"/>
      <c r="E4" s="169"/>
      <c r="F4" s="169"/>
      <c r="G4" s="6">
        <v>1</v>
      </c>
      <c r="H4" s="6">
        <v>2</v>
      </c>
      <c r="I4" s="6">
        <v>3</v>
      </c>
      <c r="J4" s="6" t="s">
        <v>4</v>
      </c>
      <c r="K4" s="169"/>
      <c r="L4" s="169"/>
      <c r="M4" s="159"/>
    </row>
    <row r="5" spans="1:12" ht="15">
      <c r="A5" s="171" t="s">
        <v>51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</row>
    <row r="6" spans="1:13" ht="12.75">
      <c r="A6" s="7" t="s">
        <v>108</v>
      </c>
      <c r="B6" s="7" t="s">
        <v>109</v>
      </c>
      <c r="C6" s="7" t="s">
        <v>110</v>
      </c>
      <c r="D6" s="7" t="str">
        <f>"0,5887"</f>
        <v>0,5887</v>
      </c>
      <c r="E6" s="7" t="s">
        <v>15</v>
      </c>
      <c r="F6" s="7" t="s">
        <v>111</v>
      </c>
      <c r="G6" s="9" t="s">
        <v>17</v>
      </c>
      <c r="H6" s="9" t="s">
        <v>119</v>
      </c>
      <c r="I6" s="9" t="s">
        <v>142</v>
      </c>
      <c r="J6" s="8"/>
      <c r="K6" s="7" t="str">
        <f>"60,0"</f>
        <v>60,0</v>
      </c>
      <c r="L6" s="9" t="str">
        <f>"35,3220"</f>
        <v>35,3220</v>
      </c>
      <c r="M6" s="7" t="s">
        <v>20</v>
      </c>
    </row>
    <row r="8" spans="1:12" ht="15">
      <c r="A8" s="173" t="s">
        <v>62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</row>
    <row r="9" spans="1:13" ht="12.75">
      <c r="A9" s="10" t="s">
        <v>512</v>
      </c>
      <c r="B9" s="10" t="s">
        <v>513</v>
      </c>
      <c r="C9" s="10" t="s">
        <v>514</v>
      </c>
      <c r="D9" s="10" t="str">
        <f>"0,5622"</f>
        <v>0,5622</v>
      </c>
      <c r="E9" s="10" t="s">
        <v>15</v>
      </c>
      <c r="F9" s="10" t="s">
        <v>16</v>
      </c>
      <c r="G9" s="11" t="s">
        <v>81</v>
      </c>
      <c r="H9" s="11" t="s">
        <v>81</v>
      </c>
      <c r="I9" s="11" t="s">
        <v>81</v>
      </c>
      <c r="J9" s="11"/>
      <c r="K9" s="10" t="str">
        <f>"0.00"</f>
        <v>0.00</v>
      </c>
      <c r="L9" s="12" t="str">
        <f>"0,0000"</f>
        <v>0,0000</v>
      </c>
      <c r="M9" s="10" t="s">
        <v>20</v>
      </c>
    </row>
    <row r="10" spans="1:13" ht="12.75">
      <c r="A10" s="13" t="s">
        <v>515</v>
      </c>
      <c r="B10" s="13" t="s">
        <v>516</v>
      </c>
      <c r="C10" s="13" t="s">
        <v>517</v>
      </c>
      <c r="D10" s="13" t="str">
        <f>"0,5575"</f>
        <v>0,5575</v>
      </c>
      <c r="E10" s="13" t="s">
        <v>15</v>
      </c>
      <c r="F10" s="13" t="s">
        <v>16</v>
      </c>
      <c r="G10" s="15" t="s">
        <v>81</v>
      </c>
      <c r="H10" s="15" t="s">
        <v>155</v>
      </c>
      <c r="I10" s="14" t="s">
        <v>82</v>
      </c>
      <c r="J10" s="14"/>
      <c r="K10" s="13" t="str">
        <f>"80,0"</f>
        <v>80,0</v>
      </c>
      <c r="L10" s="15" t="str">
        <f>"44,6000"</f>
        <v>44,6000</v>
      </c>
      <c r="M10" s="13" t="s">
        <v>20</v>
      </c>
    </row>
    <row r="12" spans="1:12" ht="15">
      <c r="A12" s="173" t="s">
        <v>77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</row>
    <row r="13" spans="1:13" ht="12.75">
      <c r="A13" s="7" t="s">
        <v>518</v>
      </c>
      <c r="B13" s="7" t="s">
        <v>519</v>
      </c>
      <c r="C13" s="7" t="s">
        <v>520</v>
      </c>
      <c r="D13" s="7" t="str">
        <f>"0,5380"</f>
        <v>0,5380</v>
      </c>
      <c r="E13" s="7" t="s">
        <v>15</v>
      </c>
      <c r="F13" s="7" t="s">
        <v>16</v>
      </c>
      <c r="G13" s="9" t="s">
        <v>154</v>
      </c>
      <c r="H13" s="8" t="s">
        <v>521</v>
      </c>
      <c r="I13" s="8" t="s">
        <v>521</v>
      </c>
      <c r="J13" s="8"/>
      <c r="K13" s="7" t="str">
        <f>"70,0"</f>
        <v>70,0</v>
      </c>
      <c r="L13" s="9" t="str">
        <f>"37,6635"</f>
        <v>37,6635</v>
      </c>
      <c r="M13" s="7" t="s">
        <v>20</v>
      </c>
    </row>
    <row r="15" spans="5:6" ht="15">
      <c r="E15" s="19" t="s">
        <v>84</v>
      </c>
      <c r="F15" s="4" t="s">
        <v>613</v>
      </c>
    </row>
    <row r="16" spans="5:6" ht="15">
      <c r="E16" s="19" t="s">
        <v>85</v>
      </c>
      <c r="F16" s="4" t="s">
        <v>614</v>
      </c>
    </row>
    <row r="17" spans="5:6" ht="15">
      <c r="E17" s="19" t="s">
        <v>86</v>
      </c>
      <c r="F17" s="4" t="s">
        <v>613</v>
      </c>
    </row>
    <row r="18" spans="5:6" ht="15">
      <c r="E18" s="19" t="s">
        <v>87</v>
      </c>
      <c r="F18" s="4" t="s">
        <v>323</v>
      </c>
    </row>
    <row r="19" spans="5:6" ht="15">
      <c r="E19" s="19" t="s">
        <v>87</v>
      </c>
      <c r="F19" s="4" t="s">
        <v>615</v>
      </c>
    </row>
    <row r="20" ht="15">
      <c r="E20" s="19"/>
    </row>
    <row r="21" ht="15">
      <c r="E21" s="19"/>
    </row>
  </sheetData>
  <sheetProtection/>
  <mergeCells count="14">
    <mergeCell ref="A5:L5"/>
    <mergeCell ref="A8:L8"/>
    <mergeCell ref="A12:L12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F8" sqref="F8:F12"/>
    </sheetView>
  </sheetViews>
  <sheetFormatPr defaultColWidth="9.1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8.3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160" t="s">
        <v>470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spans="1:13" s="2" customFormat="1" ht="61.5" customHeight="1" thickBot="1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5"/>
    </row>
    <row r="3" spans="1:13" s="1" customFormat="1" ht="12.75" customHeight="1">
      <c r="A3" s="166" t="s">
        <v>0</v>
      </c>
      <c r="B3" s="168" t="s">
        <v>5</v>
      </c>
      <c r="C3" s="168" t="s">
        <v>6</v>
      </c>
      <c r="D3" s="170" t="s">
        <v>9</v>
      </c>
      <c r="E3" s="170" t="s">
        <v>3</v>
      </c>
      <c r="F3" s="170" t="s">
        <v>7</v>
      </c>
      <c r="G3" s="170" t="s">
        <v>396</v>
      </c>
      <c r="H3" s="170"/>
      <c r="I3" s="170"/>
      <c r="J3" s="170"/>
      <c r="K3" s="170" t="s">
        <v>106</v>
      </c>
      <c r="L3" s="170" t="s">
        <v>2</v>
      </c>
      <c r="M3" s="158" t="s">
        <v>1</v>
      </c>
    </row>
    <row r="4" spans="1:13" s="1" customFormat="1" ht="21" customHeight="1" thickBot="1">
      <c r="A4" s="167"/>
      <c r="B4" s="169"/>
      <c r="C4" s="169"/>
      <c r="D4" s="169"/>
      <c r="E4" s="169"/>
      <c r="F4" s="169"/>
      <c r="G4" s="5">
        <v>1</v>
      </c>
      <c r="H4" s="5">
        <v>2</v>
      </c>
      <c r="I4" s="5">
        <v>3</v>
      </c>
      <c r="J4" s="5" t="s">
        <v>4</v>
      </c>
      <c r="K4" s="169"/>
      <c r="L4" s="169"/>
      <c r="M4" s="159"/>
    </row>
    <row r="5" spans="1:12" ht="15">
      <c r="A5" s="171" t="s">
        <v>51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</row>
    <row r="6" spans="1:13" ht="12.75">
      <c r="A6" s="7" t="s">
        <v>108</v>
      </c>
      <c r="B6" s="7" t="s">
        <v>109</v>
      </c>
      <c r="C6" s="7" t="s">
        <v>110</v>
      </c>
      <c r="D6" s="7" t="str">
        <f>"0,5887"</f>
        <v>0,5887</v>
      </c>
      <c r="E6" s="7" t="s">
        <v>15</v>
      </c>
      <c r="F6" s="7" t="s">
        <v>111</v>
      </c>
      <c r="G6" s="9" t="s">
        <v>417</v>
      </c>
      <c r="H6" s="9" t="s">
        <v>337</v>
      </c>
      <c r="I6" s="8" t="s">
        <v>426</v>
      </c>
      <c r="J6" s="8"/>
      <c r="K6" s="7" t="str">
        <f>"250,0"</f>
        <v>250,0</v>
      </c>
      <c r="L6" s="9" t="str">
        <f>"147,1750"</f>
        <v>147,1750</v>
      </c>
      <c r="M6" s="7" t="s">
        <v>20</v>
      </c>
    </row>
    <row r="8" spans="5:6" ht="15">
      <c r="E8" s="19" t="s">
        <v>84</v>
      </c>
      <c r="F8" s="4" t="s">
        <v>613</v>
      </c>
    </row>
    <row r="9" spans="5:6" ht="15">
      <c r="E9" s="19" t="s">
        <v>85</v>
      </c>
      <c r="F9" s="4" t="s">
        <v>614</v>
      </c>
    </row>
    <row r="10" spans="5:6" ht="15">
      <c r="E10" s="19" t="s">
        <v>86</v>
      </c>
      <c r="F10" s="4" t="s">
        <v>613</v>
      </c>
    </row>
    <row r="11" spans="5:6" ht="15">
      <c r="E11" s="19" t="s">
        <v>87</v>
      </c>
      <c r="F11" s="4" t="s">
        <v>323</v>
      </c>
    </row>
    <row r="12" spans="5:6" ht="15">
      <c r="E12" s="19" t="s">
        <v>87</v>
      </c>
      <c r="F12" s="4" t="s">
        <v>615</v>
      </c>
    </row>
    <row r="13" ht="15">
      <c r="E13" s="19"/>
    </row>
    <row r="14" ht="15">
      <c r="E14" s="19"/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4"/>
  <sheetViews>
    <sheetView zoomScalePageLayoutView="0" workbookViewId="0" topLeftCell="A1">
      <selection activeCell="A59" sqref="A59:M61"/>
    </sheetView>
  </sheetViews>
  <sheetFormatPr defaultColWidth="9.125" defaultRowHeight="12.75"/>
  <cols>
    <col min="1" max="1" width="26.00390625" style="4" bestFit="1" customWidth="1"/>
    <col min="2" max="2" width="28.37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2.3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160" t="s">
        <v>395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spans="1:13" s="2" customFormat="1" ht="61.5" customHeight="1" thickBot="1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5"/>
    </row>
    <row r="3" spans="1:13" s="1" customFormat="1" ht="12.75" customHeight="1">
      <c r="A3" s="166" t="s">
        <v>0</v>
      </c>
      <c r="B3" s="168" t="s">
        <v>5</v>
      </c>
      <c r="C3" s="168" t="s">
        <v>6</v>
      </c>
      <c r="D3" s="170" t="s">
        <v>9</v>
      </c>
      <c r="E3" s="170" t="s">
        <v>3</v>
      </c>
      <c r="F3" s="170" t="s">
        <v>7</v>
      </c>
      <c r="G3" s="170" t="s">
        <v>396</v>
      </c>
      <c r="H3" s="170"/>
      <c r="I3" s="170"/>
      <c r="J3" s="170"/>
      <c r="K3" s="170" t="s">
        <v>106</v>
      </c>
      <c r="L3" s="170" t="s">
        <v>2</v>
      </c>
      <c r="M3" s="158" t="s">
        <v>1</v>
      </c>
    </row>
    <row r="4" spans="1:13" s="1" customFormat="1" ht="21" customHeight="1" thickBot="1">
      <c r="A4" s="167"/>
      <c r="B4" s="169"/>
      <c r="C4" s="169"/>
      <c r="D4" s="169"/>
      <c r="E4" s="169"/>
      <c r="F4" s="169"/>
      <c r="G4" s="5">
        <v>1</v>
      </c>
      <c r="H4" s="5">
        <v>2</v>
      </c>
      <c r="I4" s="5">
        <v>3</v>
      </c>
      <c r="J4" s="5" t="s">
        <v>4</v>
      </c>
      <c r="K4" s="169"/>
      <c r="L4" s="169"/>
      <c r="M4" s="159"/>
    </row>
    <row r="5" spans="1:12" ht="15">
      <c r="A5" s="171" t="s">
        <v>11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</row>
    <row r="6" spans="1:13" s="28" customFormat="1" ht="13.5" customHeight="1">
      <c r="A6" s="31" t="s">
        <v>12</v>
      </c>
      <c r="B6" s="7" t="s">
        <v>13</v>
      </c>
      <c r="C6" s="29" t="s">
        <v>471</v>
      </c>
      <c r="D6" s="29" t="s">
        <v>472</v>
      </c>
      <c r="E6" s="7" t="s">
        <v>15</v>
      </c>
      <c r="F6" s="7" t="s">
        <v>16</v>
      </c>
      <c r="G6" s="29" t="s">
        <v>473</v>
      </c>
      <c r="H6" s="29" t="s">
        <v>474</v>
      </c>
      <c r="I6" s="29" t="s">
        <v>475</v>
      </c>
      <c r="J6" s="29"/>
      <c r="K6" s="29" t="s">
        <v>475</v>
      </c>
      <c r="L6" s="29" t="s">
        <v>448</v>
      </c>
      <c r="M6" s="29"/>
    </row>
    <row r="7" spans="1:13" s="27" customFormat="1" ht="11.25" customHeight="1" thickBo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2" ht="15">
      <c r="A8" s="174" t="s">
        <v>21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</row>
    <row r="9" spans="1:13" ht="12.75">
      <c r="A9" s="7" t="s">
        <v>397</v>
      </c>
      <c r="B9" s="7" t="s">
        <v>476</v>
      </c>
      <c r="C9" s="7" t="s">
        <v>398</v>
      </c>
      <c r="D9" s="7" t="str">
        <f>"0,9724"</f>
        <v>0,9724</v>
      </c>
      <c r="E9" s="7" t="s">
        <v>15</v>
      </c>
      <c r="F9" s="7" t="s">
        <v>211</v>
      </c>
      <c r="G9" s="9" t="s">
        <v>212</v>
      </c>
      <c r="H9" s="9" t="s">
        <v>399</v>
      </c>
      <c r="I9" s="9" t="s">
        <v>196</v>
      </c>
      <c r="J9" s="8"/>
      <c r="K9" s="7" t="str">
        <f>"105,0"</f>
        <v>105,0</v>
      </c>
      <c r="L9" s="9" t="s">
        <v>437</v>
      </c>
      <c r="M9" s="7" t="s">
        <v>20</v>
      </c>
    </row>
    <row r="10" spans="1:13" ht="12.75">
      <c r="A10" s="7" t="s">
        <v>22</v>
      </c>
      <c r="B10" s="7" t="s">
        <v>23</v>
      </c>
      <c r="C10" s="7" t="s">
        <v>477</v>
      </c>
      <c r="D10" s="7" t="s">
        <v>478</v>
      </c>
      <c r="E10" s="7" t="s">
        <v>15</v>
      </c>
      <c r="F10" s="7" t="s">
        <v>16</v>
      </c>
      <c r="G10" s="9" t="s">
        <v>202</v>
      </c>
      <c r="H10" s="9" t="s">
        <v>43</v>
      </c>
      <c r="I10" s="8" t="s">
        <v>44</v>
      </c>
      <c r="J10" s="9"/>
      <c r="K10" s="7" t="s">
        <v>43</v>
      </c>
      <c r="L10" s="9" t="s">
        <v>447</v>
      </c>
      <c r="M10" s="7"/>
    </row>
    <row r="12" spans="1:12" ht="15">
      <c r="A12" s="173" t="s">
        <v>26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</row>
    <row r="13" spans="1:13" ht="12.75">
      <c r="A13" s="7" t="s">
        <v>400</v>
      </c>
      <c r="B13" s="7" t="s">
        <v>479</v>
      </c>
      <c r="C13" s="7" t="s">
        <v>401</v>
      </c>
      <c r="D13" s="7" t="str">
        <f>"0,9222"</f>
        <v>0,9222</v>
      </c>
      <c r="E13" s="7" t="s">
        <v>15</v>
      </c>
      <c r="F13" s="7" t="s">
        <v>16</v>
      </c>
      <c r="G13" s="9" t="s">
        <v>44</v>
      </c>
      <c r="H13" s="8" t="s">
        <v>177</v>
      </c>
      <c r="I13" s="8" t="s">
        <v>177</v>
      </c>
      <c r="J13" s="8"/>
      <c r="K13" s="7" t="str">
        <f>"125,0"</f>
        <v>125,0</v>
      </c>
      <c r="L13" s="9" t="s">
        <v>436</v>
      </c>
      <c r="M13" s="7" t="s">
        <v>20</v>
      </c>
    </row>
    <row r="15" spans="1:12" ht="15">
      <c r="A15" s="173" t="s">
        <v>34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</row>
    <row r="16" spans="1:13" ht="12.75">
      <c r="A16" s="7" t="s">
        <v>483</v>
      </c>
      <c r="B16" s="7" t="s">
        <v>140</v>
      </c>
      <c r="C16" s="7" t="s">
        <v>141</v>
      </c>
      <c r="D16" s="7" t="s">
        <v>484</v>
      </c>
      <c r="E16" s="7" t="s">
        <v>15</v>
      </c>
      <c r="F16" s="7" t="s">
        <v>118</v>
      </c>
      <c r="G16" s="9" t="s">
        <v>155</v>
      </c>
      <c r="H16" s="8" t="s">
        <v>399</v>
      </c>
      <c r="I16" s="9" t="s">
        <v>399</v>
      </c>
      <c r="J16" s="9"/>
      <c r="K16" s="7" t="s">
        <v>399</v>
      </c>
      <c r="L16" s="9" t="s">
        <v>438</v>
      </c>
      <c r="M16" s="7"/>
    </row>
    <row r="17" spans="1:13" ht="12.75">
      <c r="A17" s="7" t="s">
        <v>481</v>
      </c>
      <c r="B17" s="7" t="s">
        <v>482</v>
      </c>
      <c r="C17" s="7" t="s">
        <v>404</v>
      </c>
      <c r="D17" s="7" t="str">
        <f>"0,8769"</f>
        <v>0,8769</v>
      </c>
      <c r="E17" s="7" t="s">
        <v>15</v>
      </c>
      <c r="F17" s="7" t="s">
        <v>16</v>
      </c>
      <c r="G17" s="9" t="s">
        <v>82</v>
      </c>
      <c r="H17" s="9" t="s">
        <v>212</v>
      </c>
      <c r="I17" s="9" t="s">
        <v>399</v>
      </c>
      <c r="J17" s="8"/>
      <c r="K17" s="7" t="str">
        <f>"100,0"</f>
        <v>100,0</v>
      </c>
      <c r="L17" s="9" t="s">
        <v>440</v>
      </c>
      <c r="M17" s="7" t="s">
        <v>20</v>
      </c>
    </row>
    <row r="18" spans="1:13" ht="12.75">
      <c r="A18" s="7" t="s">
        <v>485</v>
      </c>
      <c r="B18" s="7" t="s">
        <v>488</v>
      </c>
      <c r="C18" s="7" t="s">
        <v>491</v>
      </c>
      <c r="D18" s="7" t="s">
        <v>493</v>
      </c>
      <c r="E18" s="7" t="s">
        <v>15</v>
      </c>
      <c r="F18" s="7" t="s">
        <v>16</v>
      </c>
      <c r="G18" s="9" t="s">
        <v>75</v>
      </c>
      <c r="H18" s="9" t="s">
        <v>256</v>
      </c>
      <c r="I18" s="8" t="s">
        <v>496</v>
      </c>
      <c r="J18" s="8"/>
      <c r="K18" s="7" t="s">
        <v>256</v>
      </c>
      <c r="L18" s="9" t="s">
        <v>442</v>
      </c>
      <c r="M18" s="7"/>
    </row>
    <row r="19" spans="1:13" ht="12.75">
      <c r="A19" s="7" t="s">
        <v>486</v>
      </c>
      <c r="B19" s="7" t="s">
        <v>489</v>
      </c>
      <c r="C19" s="7" t="s">
        <v>492</v>
      </c>
      <c r="D19" s="7" t="s">
        <v>494</v>
      </c>
      <c r="E19" s="7" t="s">
        <v>15</v>
      </c>
      <c r="F19" s="7" t="s">
        <v>16</v>
      </c>
      <c r="G19" s="9" t="s">
        <v>76</v>
      </c>
      <c r="H19" s="9" t="s">
        <v>70</v>
      </c>
      <c r="I19" s="8" t="s">
        <v>256</v>
      </c>
      <c r="J19" s="8"/>
      <c r="K19" s="7" t="s">
        <v>497</v>
      </c>
      <c r="L19" s="9" t="s">
        <v>444</v>
      </c>
      <c r="M19" s="7"/>
    </row>
    <row r="20" spans="1:13" ht="12.75">
      <c r="A20" s="7" t="s">
        <v>487</v>
      </c>
      <c r="B20" s="7" t="s">
        <v>490</v>
      </c>
      <c r="C20" s="7" t="s">
        <v>403</v>
      </c>
      <c r="D20" s="7" t="s">
        <v>495</v>
      </c>
      <c r="E20" s="7" t="s">
        <v>15</v>
      </c>
      <c r="F20" s="7" t="s">
        <v>16</v>
      </c>
      <c r="G20" s="8" t="s">
        <v>60</v>
      </c>
      <c r="H20" s="9" t="s">
        <v>43</v>
      </c>
      <c r="I20" s="8" t="s">
        <v>60</v>
      </c>
      <c r="J20" s="8"/>
      <c r="K20" s="7" t="s">
        <v>498</v>
      </c>
      <c r="L20" s="9" t="s">
        <v>449</v>
      </c>
      <c r="M20" s="7"/>
    </row>
    <row r="21" spans="1:13" ht="12.75">
      <c r="A21" s="7" t="s">
        <v>402</v>
      </c>
      <c r="B21" s="7" t="s">
        <v>480</v>
      </c>
      <c r="C21" s="7" t="s">
        <v>403</v>
      </c>
      <c r="D21" s="7" t="str">
        <f>"0,8670"</f>
        <v>0,8670</v>
      </c>
      <c r="E21" s="7" t="s">
        <v>15</v>
      </c>
      <c r="F21" s="7" t="s">
        <v>16</v>
      </c>
      <c r="G21" s="9" t="s">
        <v>196</v>
      </c>
      <c r="H21" s="8" t="s">
        <v>42</v>
      </c>
      <c r="I21" s="9" t="s">
        <v>42</v>
      </c>
      <c r="J21" s="8"/>
      <c r="K21" s="7" t="str">
        <f>"115,0"</f>
        <v>115,0</v>
      </c>
      <c r="L21" s="9" t="str">
        <f>"99,7050"</f>
        <v>99,7050</v>
      </c>
      <c r="M21" s="7" t="s">
        <v>20</v>
      </c>
    </row>
    <row r="23" spans="1:12" ht="15">
      <c r="A23" s="173" t="s">
        <v>185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</row>
    <row r="24" spans="1:13" ht="12.75">
      <c r="A24" s="7" t="s">
        <v>405</v>
      </c>
      <c r="B24" s="7" t="s">
        <v>499</v>
      </c>
      <c r="C24" s="7" t="s">
        <v>406</v>
      </c>
      <c r="D24" s="7" t="str">
        <f>"0,7434"</f>
        <v>0,7434</v>
      </c>
      <c r="E24" s="7" t="s">
        <v>15</v>
      </c>
      <c r="F24" s="7" t="s">
        <v>16</v>
      </c>
      <c r="G24" s="9" t="s">
        <v>60</v>
      </c>
      <c r="H24" s="8" t="s">
        <v>75</v>
      </c>
      <c r="I24" s="8" t="s">
        <v>75</v>
      </c>
      <c r="J24" s="8"/>
      <c r="K24" s="7" t="str">
        <f>"130,0"</f>
        <v>130,0</v>
      </c>
      <c r="L24" s="9" t="s">
        <v>439</v>
      </c>
      <c r="M24" s="7" t="s">
        <v>20</v>
      </c>
    </row>
    <row r="25" spans="1:13" ht="12.75">
      <c r="A25" s="7" t="s">
        <v>500</v>
      </c>
      <c r="B25" s="7" t="s">
        <v>501</v>
      </c>
      <c r="C25" s="7" t="s">
        <v>502</v>
      </c>
      <c r="D25" s="7" t="s">
        <v>503</v>
      </c>
      <c r="E25" s="7" t="s">
        <v>15</v>
      </c>
      <c r="F25" s="7" t="s">
        <v>16</v>
      </c>
      <c r="G25" s="9" t="s">
        <v>256</v>
      </c>
      <c r="H25" s="9" t="s">
        <v>306</v>
      </c>
      <c r="I25" s="8" t="s">
        <v>226</v>
      </c>
      <c r="J25" s="8"/>
      <c r="K25" s="7" t="s">
        <v>306</v>
      </c>
      <c r="L25" s="9" t="s">
        <v>446</v>
      </c>
      <c r="M25" s="7"/>
    </row>
    <row r="26" spans="9:10" ht="12.75">
      <c r="I26" s="32"/>
      <c r="J26" s="32"/>
    </row>
    <row r="27" spans="1:12" ht="15">
      <c r="A27" s="173" t="s">
        <v>21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</row>
    <row r="28" spans="1:13" ht="12.75">
      <c r="A28" s="7" t="s">
        <v>504</v>
      </c>
      <c r="B28" s="7" t="s">
        <v>505</v>
      </c>
      <c r="C28" s="7" t="s">
        <v>506</v>
      </c>
      <c r="D28" s="7" t="s">
        <v>507</v>
      </c>
      <c r="E28" s="7" t="s">
        <v>15</v>
      </c>
      <c r="F28" s="7" t="s">
        <v>16</v>
      </c>
      <c r="G28" s="9" t="s">
        <v>201</v>
      </c>
      <c r="H28" s="9" t="s">
        <v>42</v>
      </c>
      <c r="I28" s="8" t="s">
        <v>60</v>
      </c>
      <c r="J28" s="8"/>
      <c r="K28" s="7" t="s">
        <v>509</v>
      </c>
      <c r="L28" s="9" t="s">
        <v>451</v>
      </c>
      <c r="M28" s="7" t="s">
        <v>20</v>
      </c>
    </row>
    <row r="30" spans="1:12" ht="15">
      <c r="A30" s="173" t="s">
        <v>26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</row>
    <row r="31" spans="1:13" ht="12.75">
      <c r="A31" s="7" t="s">
        <v>162</v>
      </c>
      <c r="B31" s="7" t="s">
        <v>163</v>
      </c>
      <c r="C31" s="7" t="s">
        <v>164</v>
      </c>
      <c r="D31" s="7" t="str">
        <f>"0,8853"</f>
        <v>0,8853</v>
      </c>
      <c r="E31" s="7" t="s">
        <v>15</v>
      </c>
      <c r="F31" s="7" t="s">
        <v>118</v>
      </c>
      <c r="G31" s="9" t="s">
        <v>399</v>
      </c>
      <c r="H31" s="9" t="s">
        <v>42</v>
      </c>
      <c r="I31" s="9" t="s">
        <v>60</v>
      </c>
      <c r="J31" s="8"/>
      <c r="K31" s="7" t="s">
        <v>508</v>
      </c>
      <c r="L31" s="9" t="s">
        <v>450</v>
      </c>
      <c r="M31" s="7" t="s">
        <v>20</v>
      </c>
    </row>
    <row r="32" spans="9:10" ht="12.75">
      <c r="I32" s="32"/>
      <c r="J32" s="32"/>
    </row>
    <row r="33" spans="1:12" ht="15">
      <c r="A33" s="173" t="s">
        <v>34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</row>
    <row r="34" spans="1:13" ht="12.75">
      <c r="A34" s="7" t="s">
        <v>166</v>
      </c>
      <c r="B34" s="7" t="s">
        <v>167</v>
      </c>
      <c r="C34" s="7" t="s">
        <v>168</v>
      </c>
      <c r="D34" s="7" t="str">
        <f>"0,8206"</f>
        <v>0,8206</v>
      </c>
      <c r="E34" s="7" t="s">
        <v>15</v>
      </c>
      <c r="F34" s="7" t="s">
        <v>169</v>
      </c>
      <c r="G34" s="9" t="s">
        <v>202</v>
      </c>
      <c r="H34" s="9" t="s">
        <v>43</v>
      </c>
      <c r="I34" s="9" t="s">
        <v>60</v>
      </c>
      <c r="J34" s="8"/>
      <c r="K34" s="7" t="s">
        <v>508</v>
      </c>
      <c r="L34" s="9" t="s">
        <v>452</v>
      </c>
      <c r="M34" s="7" t="s">
        <v>20</v>
      </c>
    </row>
    <row r="35" spans="9:10" ht="12.75">
      <c r="I35" s="32"/>
      <c r="J35" s="32"/>
    </row>
    <row r="36" spans="1:12" ht="15">
      <c r="A36" s="173" t="s">
        <v>185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</row>
    <row r="37" spans="1:13" ht="12.75">
      <c r="A37" s="7" t="s">
        <v>187</v>
      </c>
      <c r="B37" s="7" t="s">
        <v>188</v>
      </c>
      <c r="C37" s="7" t="s">
        <v>189</v>
      </c>
      <c r="D37" s="7" t="str">
        <f>"0,6774"</f>
        <v>0,6774</v>
      </c>
      <c r="E37" s="7" t="s">
        <v>15</v>
      </c>
      <c r="F37" s="7" t="s">
        <v>16</v>
      </c>
      <c r="G37" s="9" t="s">
        <v>43</v>
      </c>
      <c r="H37" s="9" t="s">
        <v>177</v>
      </c>
      <c r="I37" s="9" t="s">
        <v>76</v>
      </c>
      <c r="J37" s="8"/>
      <c r="K37" s="7" t="s">
        <v>582</v>
      </c>
      <c r="L37" s="9" t="s">
        <v>453</v>
      </c>
      <c r="M37" s="7" t="s">
        <v>20</v>
      </c>
    </row>
    <row r="38" spans="1:13" ht="12.75">
      <c r="A38" s="7" t="s">
        <v>574</v>
      </c>
      <c r="B38" s="7" t="s">
        <v>578</v>
      </c>
      <c r="C38" s="7" t="s">
        <v>575</v>
      </c>
      <c r="D38" s="7" t="s">
        <v>576</v>
      </c>
      <c r="E38" s="7" t="s">
        <v>15</v>
      </c>
      <c r="F38" s="7" t="s">
        <v>16</v>
      </c>
      <c r="G38" s="9" t="s">
        <v>344</v>
      </c>
      <c r="H38" s="9" t="s">
        <v>419</v>
      </c>
      <c r="I38" s="8" t="s">
        <v>425</v>
      </c>
      <c r="J38" s="8"/>
      <c r="K38" s="7" t="s">
        <v>577</v>
      </c>
      <c r="L38" s="9" t="s">
        <v>456</v>
      </c>
      <c r="M38" s="7"/>
    </row>
    <row r="39" spans="1:13" ht="12.75">
      <c r="A39" s="7" t="s">
        <v>584</v>
      </c>
      <c r="B39" s="7" t="s">
        <v>579</v>
      </c>
      <c r="C39" s="7" t="s">
        <v>192</v>
      </c>
      <c r="D39" s="7" t="s">
        <v>580</v>
      </c>
      <c r="E39" s="7" t="s">
        <v>15</v>
      </c>
      <c r="F39" s="7" t="s">
        <v>16</v>
      </c>
      <c r="G39" s="9" t="s">
        <v>374</v>
      </c>
      <c r="H39" s="9" t="s">
        <v>414</v>
      </c>
      <c r="I39" s="9" t="s">
        <v>344</v>
      </c>
      <c r="J39" s="8"/>
      <c r="K39" s="7" t="s">
        <v>581</v>
      </c>
      <c r="L39" s="9" t="s">
        <v>455</v>
      </c>
      <c r="M39" s="7"/>
    </row>
    <row r="40" spans="1:13" ht="12.75">
      <c r="A40" s="7" t="s">
        <v>585</v>
      </c>
      <c r="B40" s="7" t="s">
        <v>583</v>
      </c>
      <c r="C40" s="7" t="s">
        <v>586</v>
      </c>
      <c r="D40" s="7" t="s">
        <v>587</v>
      </c>
      <c r="E40" s="7" t="s">
        <v>15</v>
      </c>
      <c r="F40" s="7" t="s">
        <v>16</v>
      </c>
      <c r="G40" s="9" t="s">
        <v>374</v>
      </c>
      <c r="H40" s="8" t="s">
        <v>414</v>
      </c>
      <c r="I40" s="8" t="s">
        <v>414</v>
      </c>
      <c r="J40" s="8"/>
      <c r="K40" s="7" t="s">
        <v>588</v>
      </c>
      <c r="L40" s="9" t="s">
        <v>457</v>
      </c>
      <c r="M40" s="7"/>
    </row>
    <row r="41" spans="1:13" ht="12.75">
      <c r="A41" s="7" t="s">
        <v>190</v>
      </c>
      <c r="B41" s="7" t="s">
        <v>191</v>
      </c>
      <c r="C41" s="7" t="s">
        <v>192</v>
      </c>
      <c r="D41" s="7" t="str">
        <f>"0,6676"</f>
        <v>0,6676</v>
      </c>
      <c r="E41" s="7" t="s">
        <v>15</v>
      </c>
      <c r="F41" s="7" t="s">
        <v>16</v>
      </c>
      <c r="G41" s="9" t="s">
        <v>423</v>
      </c>
      <c r="H41" s="9" t="s">
        <v>414</v>
      </c>
      <c r="I41" s="8" t="s">
        <v>375</v>
      </c>
      <c r="J41" s="8"/>
      <c r="K41" s="7" t="s">
        <v>590</v>
      </c>
      <c r="L41" s="9" t="s">
        <v>464</v>
      </c>
      <c r="M41" s="7" t="s">
        <v>20</v>
      </c>
    </row>
    <row r="42" spans="1:13" ht="12.75">
      <c r="A42" s="7" t="s">
        <v>589</v>
      </c>
      <c r="B42" s="7" t="s">
        <v>204</v>
      </c>
      <c r="C42" s="7" t="s">
        <v>205</v>
      </c>
      <c r="D42" s="7" t="str">
        <f>"0,6662"</f>
        <v>0,6662</v>
      </c>
      <c r="E42" s="7" t="s">
        <v>15</v>
      </c>
      <c r="F42" s="7" t="s">
        <v>16</v>
      </c>
      <c r="G42" s="9" t="s">
        <v>374</v>
      </c>
      <c r="H42" s="9" t="s">
        <v>414</v>
      </c>
      <c r="I42" s="8" t="s">
        <v>375</v>
      </c>
      <c r="J42" s="8"/>
      <c r="K42" s="7" t="s">
        <v>590</v>
      </c>
      <c r="L42" s="9" t="s">
        <v>465</v>
      </c>
      <c r="M42" s="7" t="s">
        <v>20</v>
      </c>
    </row>
    <row r="43" spans="1:13" ht="12.75">
      <c r="A43" s="7" t="s">
        <v>591</v>
      </c>
      <c r="B43" s="7" t="s">
        <v>592</v>
      </c>
      <c r="C43" s="7" t="s">
        <v>200</v>
      </c>
      <c r="D43" s="7" t="s">
        <v>593</v>
      </c>
      <c r="E43" s="7" t="s">
        <v>15</v>
      </c>
      <c r="F43" s="7" t="s">
        <v>16</v>
      </c>
      <c r="G43" s="9" t="s">
        <v>380</v>
      </c>
      <c r="H43" s="9" t="s">
        <v>374</v>
      </c>
      <c r="I43" s="9" t="s">
        <v>343</v>
      </c>
      <c r="J43" s="8"/>
      <c r="K43" s="7" t="s">
        <v>594</v>
      </c>
      <c r="L43" s="9" t="s">
        <v>466</v>
      </c>
      <c r="M43" s="7"/>
    </row>
    <row r="44" spans="1:13" ht="12.75">
      <c r="A44" s="7" t="s">
        <v>595</v>
      </c>
      <c r="B44" s="7" t="s">
        <v>207</v>
      </c>
      <c r="C44" s="7" t="s">
        <v>205</v>
      </c>
      <c r="D44" s="7" t="str">
        <f>"0,6662"</f>
        <v>0,6662</v>
      </c>
      <c r="E44" s="7" t="s">
        <v>15</v>
      </c>
      <c r="F44" s="7" t="s">
        <v>16</v>
      </c>
      <c r="G44" s="9" t="s">
        <v>256</v>
      </c>
      <c r="H44" s="9" t="s">
        <v>226</v>
      </c>
      <c r="I44" s="9" t="s">
        <v>380</v>
      </c>
      <c r="J44" s="8"/>
      <c r="K44" s="7" t="s">
        <v>596</v>
      </c>
      <c r="L44" s="9" t="s">
        <v>468</v>
      </c>
      <c r="M44" s="7" t="s">
        <v>20</v>
      </c>
    </row>
    <row r="45" spans="9:10" ht="12.75">
      <c r="I45" s="32"/>
      <c r="J45" s="32"/>
    </row>
    <row r="46" spans="1:12" ht="15">
      <c r="A46" s="173" t="s">
        <v>38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</row>
    <row r="47" spans="1:13" ht="12.75">
      <c r="A47" s="7" t="s">
        <v>597</v>
      </c>
      <c r="B47" s="7" t="s">
        <v>598</v>
      </c>
      <c r="C47" s="7" t="s">
        <v>599</v>
      </c>
      <c r="D47" s="7" t="s">
        <v>600</v>
      </c>
      <c r="E47" s="7" t="s">
        <v>15</v>
      </c>
      <c r="F47" s="7" t="s">
        <v>16</v>
      </c>
      <c r="G47" s="9" t="s">
        <v>601</v>
      </c>
      <c r="H47" s="9" t="s">
        <v>459</v>
      </c>
      <c r="I47" s="8" t="s">
        <v>426</v>
      </c>
      <c r="J47" s="8"/>
      <c r="K47" s="7" t="s">
        <v>602</v>
      </c>
      <c r="L47" s="9" t="s">
        <v>460</v>
      </c>
      <c r="M47" s="7" t="s">
        <v>20</v>
      </c>
    </row>
    <row r="48" spans="1:13" ht="12.75">
      <c r="A48" s="7" t="s">
        <v>603</v>
      </c>
      <c r="B48" s="7" t="s">
        <v>604</v>
      </c>
      <c r="C48" s="7" t="s">
        <v>521</v>
      </c>
      <c r="D48" s="7" t="s">
        <v>605</v>
      </c>
      <c r="E48" s="7" t="s">
        <v>15</v>
      </c>
      <c r="F48" s="7" t="s">
        <v>16</v>
      </c>
      <c r="G48" s="9" t="s">
        <v>344</v>
      </c>
      <c r="H48" s="9" t="s">
        <v>606</v>
      </c>
      <c r="I48" s="9" t="s">
        <v>425</v>
      </c>
      <c r="J48" s="8"/>
      <c r="K48" s="7" t="s">
        <v>607</v>
      </c>
      <c r="L48" s="9" t="s">
        <v>463</v>
      </c>
      <c r="M48" s="7" t="s">
        <v>20</v>
      </c>
    </row>
    <row r="49" spans="1:13" ht="12.75">
      <c r="A49" s="7" t="s">
        <v>608</v>
      </c>
      <c r="B49" s="7" t="s">
        <v>609</v>
      </c>
      <c r="C49" s="7" t="s">
        <v>610</v>
      </c>
      <c r="D49" s="7" t="s">
        <v>611</v>
      </c>
      <c r="E49" s="7" t="s">
        <v>15</v>
      </c>
      <c r="F49" s="7" t="s">
        <v>16</v>
      </c>
      <c r="G49" s="9" t="s">
        <v>343</v>
      </c>
      <c r="H49" s="8" t="s">
        <v>375</v>
      </c>
      <c r="I49" s="9"/>
      <c r="J49" s="8"/>
      <c r="K49" s="7" t="s">
        <v>594</v>
      </c>
      <c r="L49" s="9" t="s">
        <v>467</v>
      </c>
      <c r="M49" s="7" t="s">
        <v>20</v>
      </c>
    </row>
    <row r="50" spans="1:13" ht="12.75">
      <c r="A50" s="7" t="s">
        <v>235</v>
      </c>
      <c r="B50" s="7" t="s">
        <v>236</v>
      </c>
      <c r="C50" s="7" t="s">
        <v>237</v>
      </c>
      <c r="D50" s="7" t="str">
        <f>"0,6335"</f>
        <v>0,6335</v>
      </c>
      <c r="E50" s="7" t="s">
        <v>15</v>
      </c>
      <c r="F50" s="7" t="s">
        <v>16</v>
      </c>
      <c r="G50" s="9" t="s">
        <v>227</v>
      </c>
      <c r="H50" s="9" t="s">
        <v>297</v>
      </c>
      <c r="I50" s="8" t="s">
        <v>343</v>
      </c>
      <c r="J50" s="8"/>
      <c r="K50" s="7" t="s">
        <v>612</v>
      </c>
      <c r="L50" s="9" t="s">
        <v>469</v>
      </c>
      <c r="M50" s="7" t="s">
        <v>20</v>
      </c>
    </row>
    <row r="51" spans="9:10" ht="12.75">
      <c r="I51" s="32"/>
      <c r="J51" s="32"/>
    </row>
    <row r="52" spans="1:12" ht="15">
      <c r="A52" s="173" t="s">
        <v>51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</row>
    <row r="53" spans="1:13" ht="12.75">
      <c r="A53" s="7" t="s">
        <v>407</v>
      </c>
      <c r="B53" s="7" t="s">
        <v>408</v>
      </c>
      <c r="C53" s="7" t="s">
        <v>262</v>
      </c>
      <c r="D53" s="7" t="str">
        <f>"0,6045"</f>
        <v>0,6045</v>
      </c>
      <c r="E53" s="7" t="s">
        <v>15</v>
      </c>
      <c r="F53" s="7" t="s">
        <v>16</v>
      </c>
      <c r="G53" s="9" t="s">
        <v>374</v>
      </c>
      <c r="H53" s="9" t="s">
        <v>343</v>
      </c>
      <c r="I53" s="9" t="s">
        <v>375</v>
      </c>
      <c r="J53" s="8"/>
      <c r="K53" s="7" t="str">
        <f>"210,0"</f>
        <v>210,0</v>
      </c>
      <c r="L53" s="9" t="str">
        <f>"143,4478"</f>
        <v>143,4478</v>
      </c>
      <c r="M53" s="7" t="s">
        <v>20</v>
      </c>
    </row>
    <row r="54" spans="1:13" ht="12.75">
      <c r="A54" s="7" t="s">
        <v>409</v>
      </c>
      <c r="B54" s="7" t="s">
        <v>410</v>
      </c>
      <c r="C54" s="7" t="s">
        <v>411</v>
      </c>
      <c r="D54" s="7" t="str">
        <f>"0,5926"</f>
        <v>0,5926</v>
      </c>
      <c r="E54" s="7" t="s">
        <v>15</v>
      </c>
      <c r="F54" s="7" t="s">
        <v>16</v>
      </c>
      <c r="G54" s="9" t="s">
        <v>412</v>
      </c>
      <c r="H54" s="9" t="s">
        <v>413</v>
      </c>
      <c r="I54" s="9" t="s">
        <v>414</v>
      </c>
      <c r="J54" s="8"/>
      <c r="K54" s="7" t="str">
        <f>"205,0"</f>
        <v>205,0</v>
      </c>
      <c r="L54" s="9" t="str">
        <f>"131,2016"</f>
        <v>131,2016</v>
      </c>
      <c r="M54" s="7" t="s">
        <v>20</v>
      </c>
    </row>
    <row r="55" spans="1:13" ht="12.75">
      <c r="A55" s="7" t="s">
        <v>415</v>
      </c>
      <c r="B55" s="7" t="s">
        <v>416</v>
      </c>
      <c r="C55" s="7" t="s">
        <v>411</v>
      </c>
      <c r="D55" s="7" t="str">
        <f>"0,5926"</f>
        <v>0,5926</v>
      </c>
      <c r="E55" s="7" t="s">
        <v>15</v>
      </c>
      <c r="F55" s="7" t="s">
        <v>16</v>
      </c>
      <c r="G55" s="9" t="s">
        <v>335</v>
      </c>
      <c r="H55" s="9" t="s">
        <v>417</v>
      </c>
      <c r="I55" s="9" t="s">
        <v>336</v>
      </c>
      <c r="J55" s="8"/>
      <c r="K55" s="7" t="str">
        <f>"245,0"</f>
        <v>245,0</v>
      </c>
      <c r="L55" s="9" t="str">
        <f>"146,6389"</f>
        <v>146,6389</v>
      </c>
      <c r="M55" s="7" t="s">
        <v>20</v>
      </c>
    </row>
    <row r="56" spans="1:13" ht="12.75">
      <c r="A56" s="7" t="s">
        <v>418</v>
      </c>
      <c r="B56" s="7" t="s">
        <v>264</v>
      </c>
      <c r="C56" s="7" t="s">
        <v>265</v>
      </c>
      <c r="D56" s="7" t="str">
        <f>"0,5952"</f>
        <v>0,5952</v>
      </c>
      <c r="E56" s="7" t="s">
        <v>15</v>
      </c>
      <c r="F56" s="7" t="s">
        <v>16</v>
      </c>
      <c r="G56" s="9" t="s">
        <v>419</v>
      </c>
      <c r="H56" s="9" t="s">
        <v>335</v>
      </c>
      <c r="I56" s="8" t="s">
        <v>417</v>
      </c>
      <c r="J56" s="8"/>
      <c r="K56" s="7" t="str">
        <f>"230,0"</f>
        <v>230,0</v>
      </c>
      <c r="L56" s="9" t="str">
        <f>"136,8960"</f>
        <v>136,8960</v>
      </c>
      <c r="M56" s="7" t="s">
        <v>20</v>
      </c>
    </row>
    <row r="58" spans="1:12" ht="15">
      <c r="A58" s="173" t="s">
        <v>62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</row>
    <row r="59" spans="1:13" ht="12.75">
      <c r="A59" s="7" t="s">
        <v>420</v>
      </c>
      <c r="B59" s="7" t="s">
        <v>421</v>
      </c>
      <c r="C59" s="7" t="s">
        <v>422</v>
      </c>
      <c r="D59" s="7" t="str">
        <f>"0,5707"</f>
        <v>0,5707</v>
      </c>
      <c r="E59" s="7" t="s">
        <v>15</v>
      </c>
      <c r="F59" s="7" t="s">
        <v>16</v>
      </c>
      <c r="G59" s="9" t="s">
        <v>252</v>
      </c>
      <c r="H59" s="8" t="s">
        <v>423</v>
      </c>
      <c r="I59" s="8" t="s">
        <v>423</v>
      </c>
      <c r="J59" s="8"/>
      <c r="K59" s="7" t="str">
        <f>"185,0"</f>
        <v>185,0</v>
      </c>
      <c r="L59" s="9" t="str">
        <f>"114,0259"</f>
        <v>114,0259</v>
      </c>
      <c r="M59" s="7" t="s">
        <v>20</v>
      </c>
    </row>
    <row r="60" spans="1:13" ht="12.75">
      <c r="A60" s="7" t="s">
        <v>424</v>
      </c>
      <c r="B60" s="7" t="s">
        <v>300</v>
      </c>
      <c r="C60" s="7" t="s">
        <v>301</v>
      </c>
      <c r="D60" s="7" t="str">
        <f>"0,5694"</f>
        <v>0,5694</v>
      </c>
      <c r="E60" s="7" t="s">
        <v>15</v>
      </c>
      <c r="F60" s="7" t="s">
        <v>302</v>
      </c>
      <c r="G60" s="9" t="s">
        <v>425</v>
      </c>
      <c r="H60" s="9" t="s">
        <v>426</v>
      </c>
      <c r="I60" s="9" t="s">
        <v>427</v>
      </c>
      <c r="J60" s="8"/>
      <c r="K60" s="7" t="str">
        <f>"270,0"</f>
        <v>270,0</v>
      </c>
      <c r="L60" s="9" t="str">
        <f>"153,7380"</f>
        <v>153,7380</v>
      </c>
      <c r="M60" s="7" t="s">
        <v>20</v>
      </c>
    </row>
    <row r="61" spans="1:13" ht="12.75">
      <c r="A61" s="7" t="s">
        <v>428</v>
      </c>
      <c r="B61" s="7" t="s">
        <v>429</v>
      </c>
      <c r="C61" s="7" t="s">
        <v>430</v>
      </c>
      <c r="D61" s="7" t="str">
        <f>"0,5654"</f>
        <v>0,5654</v>
      </c>
      <c r="E61" s="7" t="s">
        <v>15</v>
      </c>
      <c r="F61" s="7" t="s">
        <v>16</v>
      </c>
      <c r="G61" s="9" t="s">
        <v>344</v>
      </c>
      <c r="H61" s="8" t="s">
        <v>425</v>
      </c>
      <c r="I61" s="9" t="s">
        <v>425</v>
      </c>
      <c r="J61" s="8"/>
      <c r="K61" s="7" t="str">
        <f>"235,0"</f>
        <v>235,0</v>
      </c>
      <c r="L61" s="9" t="str">
        <f>"132,8690"</f>
        <v>132,8690</v>
      </c>
      <c r="M61" s="7" t="s">
        <v>20</v>
      </c>
    </row>
    <row r="63" spans="1:12" ht="15">
      <c r="A63" s="173" t="s">
        <v>77</v>
      </c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</row>
    <row r="64" spans="1:13" ht="12.75">
      <c r="A64" s="7" t="s">
        <v>431</v>
      </c>
      <c r="B64" s="7" t="s">
        <v>432</v>
      </c>
      <c r="C64" s="7" t="s">
        <v>433</v>
      </c>
      <c r="D64" s="7" t="str">
        <f>"0,5372"</f>
        <v>0,5372</v>
      </c>
      <c r="E64" s="7" t="s">
        <v>15</v>
      </c>
      <c r="F64" s="7" t="s">
        <v>16</v>
      </c>
      <c r="G64" s="9" t="s">
        <v>375</v>
      </c>
      <c r="H64" s="9" t="s">
        <v>335</v>
      </c>
      <c r="I64" s="8" t="s">
        <v>434</v>
      </c>
      <c r="J64" s="8"/>
      <c r="K64" s="7" t="str">
        <f>"230,0"</f>
        <v>230,0</v>
      </c>
      <c r="L64" s="9" t="str">
        <f>"123,5560"</f>
        <v>123,5560</v>
      </c>
      <c r="M64" s="7" t="s">
        <v>20</v>
      </c>
    </row>
    <row r="66" spans="1:12" ht="15">
      <c r="A66" s="173" t="s">
        <v>327</v>
      </c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</row>
    <row r="67" spans="1:13" ht="12.75">
      <c r="A67" s="7" t="s">
        <v>328</v>
      </c>
      <c r="B67" s="7" t="s">
        <v>329</v>
      </c>
      <c r="C67" s="7" t="s">
        <v>330</v>
      </c>
      <c r="D67" s="7" t="str">
        <f>"0,5070"</f>
        <v>0,5070</v>
      </c>
      <c r="E67" s="7" t="s">
        <v>15</v>
      </c>
      <c r="F67" s="7" t="s">
        <v>16</v>
      </c>
      <c r="G67" s="9" t="s">
        <v>417</v>
      </c>
      <c r="H67" s="9" t="s">
        <v>435</v>
      </c>
      <c r="I67" s="8" t="s">
        <v>427</v>
      </c>
      <c r="J67" s="8"/>
      <c r="K67" s="7" t="str">
        <f>"257,5"</f>
        <v>257,5</v>
      </c>
      <c r="L67" s="9" t="str">
        <f>"130,5576"</f>
        <v>130,5576</v>
      </c>
      <c r="M67" s="7" t="s">
        <v>20</v>
      </c>
    </row>
    <row r="69" spans="5:6" ht="15">
      <c r="E69" s="19" t="s">
        <v>84</v>
      </c>
      <c r="F69" s="4" t="s">
        <v>613</v>
      </c>
    </row>
    <row r="70" spans="5:6" ht="15">
      <c r="E70" s="19" t="s">
        <v>85</v>
      </c>
      <c r="F70" s="4" t="s">
        <v>614</v>
      </c>
    </row>
    <row r="71" spans="5:6" ht="15">
      <c r="E71" s="19" t="s">
        <v>86</v>
      </c>
      <c r="F71" s="4" t="s">
        <v>613</v>
      </c>
    </row>
    <row r="72" spans="5:6" ht="15">
      <c r="E72" s="19" t="s">
        <v>87</v>
      </c>
      <c r="F72" s="4" t="s">
        <v>323</v>
      </c>
    </row>
    <row r="73" spans="5:6" ht="15">
      <c r="E73" s="19" t="s">
        <v>87</v>
      </c>
      <c r="F73" s="4" t="s">
        <v>615</v>
      </c>
    </row>
    <row r="74" ht="15">
      <c r="E74" s="19"/>
    </row>
    <row r="75" ht="15">
      <c r="E75" s="19"/>
    </row>
    <row r="77" spans="1:2" ht="18">
      <c r="A77" s="20" t="s">
        <v>88</v>
      </c>
      <c r="B77" s="20"/>
    </row>
    <row r="78" spans="1:2" ht="15">
      <c r="A78" s="21" t="s">
        <v>89</v>
      </c>
      <c r="B78" s="21"/>
    </row>
    <row r="79" spans="1:2" ht="14.25">
      <c r="A79" s="23"/>
      <c r="B79" s="24" t="s">
        <v>90</v>
      </c>
    </row>
    <row r="80" spans="1:5" ht="15">
      <c r="A80" s="25" t="s">
        <v>91</v>
      </c>
      <c r="B80" s="25" t="s">
        <v>92</v>
      </c>
      <c r="C80" s="25" t="s">
        <v>93</v>
      </c>
      <c r="D80" s="25" t="s">
        <v>94</v>
      </c>
      <c r="E80" s="25" t="s">
        <v>95</v>
      </c>
    </row>
    <row r="81" spans="1:5" ht="12.75">
      <c r="A81" s="22" t="s">
        <v>441</v>
      </c>
      <c r="B81" s="4" t="s">
        <v>90</v>
      </c>
      <c r="C81" s="4" t="s">
        <v>97</v>
      </c>
      <c r="D81" s="4" t="s">
        <v>256</v>
      </c>
      <c r="E81" s="26" t="s">
        <v>442</v>
      </c>
    </row>
    <row r="82" spans="1:5" ht="12.75">
      <c r="A82" s="22" t="s">
        <v>443</v>
      </c>
      <c r="B82" s="4" t="s">
        <v>90</v>
      </c>
      <c r="C82" s="4" t="s">
        <v>97</v>
      </c>
      <c r="D82" s="4" t="s">
        <v>70</v>
      </c>
      <c r="E82" s="26" t="s">
        <v>444</v>
      </c>
    </row>
    <row r="83" spans="1:5" ht="12.75">
      <c r="A83" s="22" t="s">
        <v>445</v>
      </c>
      <c r="B83" s="4" t="s">
        <v>90</v>
      </c>
      <c r="C83" s="4" t="s">
        <v>347</v>
      </c>
      <c r="D83" s="4" t="s">
        <v>306</v>
      </c>
      <c r="E83" s="26" t="s">
        <v>446</v>
      </c>
    </row>
    <row r="85" spans="1:2" ht="15">
      <c r="A85" s="21" t="s">
        <v>98</v>
      </c>
      <c r="B85" s="21"/>
    </row>
    <row r="86" spans="1:2" ht="14.25">
      <c r="A86" s="23"/>
      <c r="B86" s="24" t="s">
        <v>100</v>
      </c>
    </row>
    <row r="87" spans="1:5" ht="15">
      <c r="A87" s="25" t="s">
        <v>91</v>
      </c>
      <c r="B87" s="25" t="s">
        <v>92</v>
      </c>
      <c r="C87" s="25" t="s">
        <v>93</v>
      </c>
      <c r="D87" s="25" t="s">
        <v>94</v>
      </c>
      <c r="E87" s="25" t="s">
        <v>95</v>
      </c>
    </row>
    <row r="88" spans="1:5" ht="12.75">
      <c r="A88" s="22" t="s">
        <v>454</v>
      </c>
      <c r="B88" s="4" t="s">
        <v>101</v>
      </c>
      <c r="C88" s="4" t="s">
        <v>347</v>
      </c>
      <c r="D88" s="4" t="s">
        <v>344</v>
      </c>
      <c r="E88" s="26" t="s">
        <v>455</v>
      </c>
    </row>
    <row r="90" spans="1:2" ht="14.25">
      <c r="A90" s="23"/>
      <c r="B90" s="24" t="s">
        <v>90</v>
      </c>
    </row>
    <row r="91" spans="1:5" ht="15">
      <c r="A91" s="25" t="s">
        <v>91</v>
      </c>
      <c r="B91" s="25" t="s">
        <v>92</v>
      </c>
      <c r="C91" s="25" t="s">
        <v>93</v>
      </c>
      <c r="D91" s="25" t="s">
        <v>94</v>
      </c>
      <c r="E91" s="25" t="s">
        <v>95</v>
      </c>
    </row>
    <row r="92" spans="1:5" ht="12.75">
      <c r="A92" s="22" t="s">
        <v>458</v>
      </c>
      <c r="B92" s="4" t="s">
        <v>90</v>
      </c>
      <c r="C92" s="4" t="s">
        <v>99</v>
      </c>
      <c r="D92" s="4" t="s">
        <v>459</v>
      </c>
      <c r="E92" s="26" t="s">
        <v>460</v>
      </c>
    </row>
    <row r="93" spans="1:5" ht="12.75">
      <c r="A93" s="22" t="s">
        <v>298</v>
      </c>
      <c r="B93" s="4" t="s">
        <v>90</v>
      </c>
      <c r="C93" s="4" t="s">
        <v>102</v>
      </c>
      <c r="D93" s="4" t="s">
        <v>427</v>
      </c>
      <c r="E93" s="26" t="s">
        <v>461</v>
      </c>
    </row>
    <row r="94" spans="1:5" ht="12.75">
      <c r="A94" s="22" t="s">
        <v>462</v>
      </c>
      <c r="B94" s="4" t="s">
        <v>90</v>
      </c>
      <c r="C94" s="4" t="s">
        <v>99</v>
      </c>
      <c r="D94" s="4" t="s">
        <v>425</v>
      </c>
      <c r="E94" s="26" t="s">
        <v>463</v>
      </c>
    </row>
  </sheetData>
  <sheetProtection/>
  <mergeCells count="25">
    <mergeCell ref="A15:L15"/>
    <mergeCell ref="A1:M2"/>
    <mergeCell ref="A3:A4"/>
    <mergeCell ref="B3:B4"/>
    <mergeCell ref="C3:C4"/>
    <mergeCell ref="D3:D4"/>
    <mergeCell ref="E3:E4"/>
    <mergeCell ref="F3:F4"/>
    <mergeCell ref="G3:J3"/>
    <mergeCell ref="A5:L5"/>
    <mergeCell ref="K3:K4"/>
    <mergeCell ref="L3:L4"/>
    <mergeCell ref="M3:M4"/>
    <mergeCell ref="A8:L8"/>
    <mergeCell ref="A12:L12"/>
    <mergeCell ref="A23:L23"/>
    <mergeCell ref="A52:L52"/>
    <mergeCell ref="A58:L58"/>
    <mergeCell ref="A63:L63"/>
    <mergeCell ref="A66:L66"/>
    <mergeCell ref="A30:L30"/>
    <mergeCell ref="A27:L27"/>
    <mergeCell ref="A33:L33"/>
    <mergeCell ref="A36:L36"/>
    <mergeCell ref="A46:L4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E28" sqref="E28:F32"/>
    </sheetView>
  </sheetViews>
  <sheetFormatPr defaultColWidth="9.1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8.3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160" t="s">
        <v>358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spans="1:13" s="2" customFormat="1" ht="61.5" customHeight="1" thickBot="1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5"/>
    </row>
    <row r="3" spans="1:13" s="1" customFormat="1" ht="12.75" customHeight="1">
      <c r="A3" s="166" t="s">
        <v>0</v>
      </c>
      <c r="B3" s="168" t="s">
        <v>5</v>
      </c>
      <c r="C3" s="168" t="s">
        <v>6</v>
      </c>
      <c r="D3" s="170" t="s">
        <v>9</v>
      </c>
      <c r="E3" s="170" t="s">
        <v>3</v>
      </c>
      <c r="F3" s="170" t="s">
        <v>7</v>
      </c>
      <c r="G3" s="170" t="s">
        <v>10</v>
      </c>
      <c r="H3" s="170"/>
      <c r="I3" s="170"/>
      <c r="J3" s="170"/>
      <c r="K3" s="170" t="s">
        <v>106</v>
      </c>
      <c r="L3" s="170" t="s">
        <v>2</v>
      </c>
      <c r="M3" s="158" t="s">
        <v>1</v>
      </c>
    </row>
    <row r="4" spans="1:13" s="1" customFormat="1" ht="21" customHeight="1" thickBot="1">
      <c r="A4" s="167"/>
      <c r="B4" s="169"/>
      <c r="C4" s="169"/>
      <c r="D4" s="169"/>
      <c r="E4" s="169"/>
      <c r="F4" s="169"/>
      <c r="G4" s="5">
        <v>1</v>
      </c>
      <c r="H4" s="5">
        <v>2</v>
      </c>
      <c r="I4" s="5">
        <v>3</v>
      </c>
      <c r="J4" s="5" t="s">
        <v>4</v>
      </c>
      <c r="K4" s="169"/>
      <c r="L4" s="169"/>
      <c r="M4" s="159"/>
    </row>
    <row r="5" spans="1:12" ht="15">
      <c r="A5" s="171" t="s">
        <v>150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</row>
    <row r="6" spans="1:13" ht="12.75">
      <c r="A6" s="7" t="s">
        <v>359</v>
      </c>
      <c r="B6" s="7" t="s">
        <v>360</v>
      </c>
      <c r="C6" s="7" t="s">
        <v>361</v>
      </c>
      <c r="D6" s="7" t="str">
        <f>"0,8257"</f>
        <v>0,8257</v>
      </c>
      <c r="E6" s="7" t="s">
        <v>15</v>
      </c>
      <c r="F6" s="7" t="s">
        <v>362</v>
      </c>
      <c r="G6" s="9" t="s">
        <v>154</v>
      </c>
      <c r="H6" s="8" t="s">
        <v>81</v>
      </c>
      <c r="I6" s="8" t="s">
        <v>81</v>
      </c>
      <c r="J6" s="8"/>
      <c r="K6" s="7" t="str">
        <f>"70,0"</f>
        <v>70,0</v>
      </c>
      <c r="L6" s="9" t="str">
        <f>"57,7990"</f>
        <v>57,7990</v>
      </c>
      <c r="M6" s="7" t="s">
        <v>20</v>
      </c>
    </row>
    <row r="8" spans="1:12" ht="15">
      <c r="A8" s="173" t="s">
        <v>185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</row>
    <row r="9" spans="1:13" ht="12.75">
      <c r="A9" s="7" t="s">
        <v>363</v>
      </c>
      <c r="B9" s="7" t="s">
        <v>364</v>
      </c>
      <c r="C9" s="7" t="s">
        <v>365</v>
      </c>
      <c r="D9" s="7" t="str">
        <f>"0,7717"</f>
        <v>0,7717</v>
      </c>
      <c r="E9" s="7" t="s">
        <v>15</v>
      </c>
      <c r="F9" s="7" t="s">
        <v>16</v>
      </c>
      <c r="G9" s="9" t="s">
        <v>128</v>
      </c>
      <c r="H9" s="9" t="s">
        <v>165</v>
      </c>
      <c r="I9" s="9" t="s">
        <v>366</v>
      </c>
      <c r="J9" s="8"/>
      <c r="K9" s="7" t="str">
        <f>"72,5"</f>
        <v>72,5</v>
      </c>
      <c r="L9" s="9" t="str">
        <f>"55,9483"</f>
        <v>55,9483</v>
      </c>
      <c r="M9" s="7" t="s">
        <v>20</v>
      </c>
    </row>
    <row r="11" spans="1:12" ht="15">
      <c r="A11" s="173" t="s">
        <v>38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</row>
    <row r="12" spans="1:13" ht="12.75">
      <c r="A12" s="7" t="s">
        <v>367</v>
      </c>
      <c r="B12" s="7" t="s">
        <v>368</v>
      </c>
      <c r="C12" s="7" t="s">
        <v>369</v>
      </c>
      <c r="D12" s="7" t="str">
        <f>"0,6352"</f>
        <v>0,6352</v>
      </c>
      <c r="E12" s="7" t="s">
        <v>15</v>
      </c>
      <c r="F12" s="7" t="s">
        <v>16</v>
      </c>
      <c r="G12" s="9" t="s">
        <v>71</v>
      </c>
      <c r="H12" s="9" t="s">
        <v>314</v>
      </c>
      <c r="I12" s="8" t="s">
        <v>227</v>
      </c>
      <c r="J12" s="8"/>
      <c r="K12" s="7" t="str">
        <f>"172,5"</f>
        <v>172,5</v>
      </c>
      <c r="L12" s="9" t="str">
        <f>"109,5720"</f>
        <v>109,5720</v>
      </c>
      <c r="M12" s="7" t="s">
        <v>20</v>
      </c>
    </row>
    <row r="14" spans="1:12" ht="15">
      <c r="A14" s="173" t="s">
        <v>51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</row>
    <row r="15" spans="1:13" ht="12.75">
      <c r="A15" s="10" t="s">
        <v>371</v>
      </c>
      <c r="B15" s="10" t="s">
        <v>372</v>
      </c>
      <c r="C15" s="10" t="s">
        <v>255</v>
      </c>
      <c r="D15" s="10" t="str">
        <f>"0,5873"</f>
        <v>0,5873</v>
      </c>
      <c r="E15" s="10" t="s">
        <v>15</v>
      </c>
      <c r="F15" s="10" t="s">
        <v>373</v>
      </c>
      <c r="G15" s="12" t="s">
        <v>374</v>
      </c>
      <c r="H15" s="12" t="s">
        <v>343</v>
      </c>
      <c r="I15" s="11" t="s">
        <v>375</v>
      </c>
      <c r="J15" s="11"/>
      <c r="K15" s="10" t="str">
        <f>"200,0"</f>
        <v>200,0</v>
      </c>
      <c r="L15" s="12" t="str">
        <f>"117,4600"</f>
        <v>117,4600</v>
      </c>
      <c r="M15" s="10" t="s">
        <v>20</v>
      </c>
    </row>
    <row r="16" spans="1:13" ht="12.75">
      <c r="A16" s="13" t="s">
        <v>376</v>
      </c>
      <c r="B16" s="13" t="s">
        <v>109</v>
      </c>
      <c r="C16" s="13" t="s">
        <v>110</v>
      </c>
      <c r="D16" s="13" t="str">
        <f>"0,5887"</f>
        <v>0,5887</v>
      </c>
      <c r="E16" s="13" t="s">
        <v>15</v>
      </c>
      <c r="F16" s="13" t="s">
        <v>111</v>
      </c>
      <c r="G16" s="15" t="s">
        <v>70</v>
      </c>
      <c r="H16" s="15" t="s">
        <v>256</v>
      </c>
      <c r="I16" s="15" t="s">
        <v>306</v>
      </c>
      <c r="J16" s="14"/>
      <c r="K16" s="13" t="str">
        <f>"167,5"</f>
        <v>167,5</v>
      </c>
      <c r="L16" s="15" t="str">
        <f>"98,6072"</f>
        <v>98,6072</v>
      </c>
      <c r="M16" s="13" t="s">
        <v>20</v>
      </c>
    </row>
    <row r="18" spans="1:12" ht="15">
      <c r="A18" s="173" t="s">
        <v>62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</row>
    <row r="19" spans="1:13" ht="12.75">
      <c r="A19" s="7" t="s">
        <v>382</v>
      </c>
      <c r="B19" s="7" t="s">
        <v>617</v>
      </c>
      <c r="C19" s="7" t="s">
        <v>384</v>
      </c>
      <c r="D19" s="7" t="str">
        <f>"0,5565"</f>
        <v>0,5565</v>
      </c>
      <c r="E19" s="7" t="s">
        <v>15</v>
      </c>
      <c r="F19" s="7" t="s">
        <v>362</v>
      </c>
      <c r="G19" s="9" t="s">
        <v>374</v>
      </c>
      <c r="H19" s="9" t="s">
        <v>343</v>
      </c>
      <c r="I19" s="9" t="s">
        <v>375</v>
      </c>
      <c r="J19" s="8"/>
      <c r="K19" s="7" t="str">
        <f>"210,0"</f>
        <v>210,0</v>
      </c>
      <c r="L19" s="9" t="str">
        <f>"198,6705"</f>
        <v>198,6705</v>
      </c>
      <c r="M19" s="7" t="s">
        <v>20</v>
      </c>
    </row>
    <row r="20" spans="1:13" ht="12.75">
      <c r="A20" s="7" t="s">
        <v>377</v>
      </c>
      <c r="B20" s="7" t="s">
        <v>378</v>
      </c>
      <c r="C20" s="7" t="s">
        <v>379</v>
      </c>
      <c r="D20" s="7" t="str">
        <f>"0,5553"</f>
        <v>0,5553</v>
      </c>
      <c r="E20" s="7" t="s">
        <v>15</v>
      </c>
      <c r="F20" s="7" t="s">
        <v>16</v>
      </c>
      <c r="G20" s="9" t="s">
        <v>256</v>
      </c>
      <c r="H20" s="9" t="s">
        <v>226</v>
      </c>
      <c r="I20" s="9" t="s">
        <v>380</v>
      </c>
      <c r="J20" s="8"/>
      <c r="K20" s="7" t="str">
        <f>"180,0"</f>
        <v>180,0</v>
      </c>
      <c r="L20" s="9" t="str">
        <f>"100,2539"</f>
        <v>100,2539</v>
      </c>
      <c r="M20" s="7" t="s">
        <v>20</v>
      </c>
    </row>
    <row r="21" spans="1:13" ht="12.75">
      <c r="A21" s="7" t="s">
        <v>382</v>
      </c>
      <c r="B21" s="7" t="s">
        <v>383</v>
      </c>
      <c r="C21" s="7" t="s">
        <v>384</v>
      </c>
      <c r="D21" s="7" t="str">
        <f>"0,5565"</f>
        <v>0,5565</v>
      </c>
      <c r="E21" s="7" t="s">
        <v>15</v>
      </c>
      <c r="F21" s="7" t="s">
        <v>362</v>
      </c>
      <c r="G21" s="9" t="s">
        <v>374</v>
      </c>
      <c r="H21" s="9" t="s">
        <v>343</v>
      </c>
      <c r="I21" s="9" t="s">
        <v>375</v>
      </c>
      <c r="J21" s="8"/>
      <c r="K21" s="7" t="str">
        <f>"210,0"</f>
        <v>210,0</v>
      </c>
      <c r="L21" s="9" t="str">
        <f>"198,6705"</f>
        <v>198,6705</v>
      </c>
      <c r="M21" s="7" t="s">
        <v>20</v>
      </c>
    </row>
    <row r="22" ht="12.75">
      <c r="J22" s="32"/>
    </row>
    <row r="24" spans="1:12" ht="15">
      <c r="A24" s="173" t="s">
        <v>322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</row>
    <row r="25" spans="1:13" ht="12.75">
      <c r="A25" s="10" t="s">
        <v>386</v>
      </c>
      <c r="B25" s="10" t="s">
        <v>387</v>
      </c>
      <c r="C25" s="10" t="s">
        <v>388</v>
      </c>
      <c r="D25" s="10" t="str">
        <f>"0,5281"</f>
        <v>0,5281</v>
      </c>
      <c r="E25" s="10" t="s">
        <v>15</v>
      </c>
      <c r="F25" s="10" t="s">
        <v>16</v>
      </c>
      <c r="G25" s="12" t="s">
        <v>335</v>
      </c>
      <c r="H25" s="12" t="s">
        <v>389</v>
      </c>
      <c r="I25" s="12" t="s">
        <v>336</v>
      </c>
      <c r="J25" s="11"/>
      <c r="K25" s="10" t="str">
        <f>"245,0"</f>
        <v>245,0</v>
      </c>
      <c r="L25" s="12" t="str">
        <f>"129,3723"</f>
        <v>129,3723</v>
      </c>
      <c r="M25" s="10" t="s">
        <v>20</v>
      </c>
    </row>
    <row r="26" spans="1:13" ht="12.75">
      <c r="A26" s="13" t="s">
        <v>390</v>
      </c>
      <c r="B26" s="13" t="s">
        <v>391</v>
      </c>
      <c r="C26" s="13" t="s">
        <v>392</v>
      </c>
      <c r="D26" s="13" t="str">
        <f>"0,5296"</f>
        <v>0,5296</v>
      </c>
      <c r="E26" s="13" t="s">
        <v>15</v>
      </c>
      <c r="F26" s="13" t="s">
        <v>16</v>
      </c>
      <c r="G26" s="15" t="s">
        <v>380</v>
      </c>
      <c r="H26" s="15" t="s">
        <v>374</v>
      </c>
      <c r="I26" s="14" t="s">
        <v>343</v>
      </c>
      <c r="J26" s="14"/>
      <c r="K26" s="13" t="str">
        <f>"190,0"</f>
        <v>190,0</v>
      </c>
      <c r="L26" s="15" t="str">
        <f>"100,6240"</f>
        <v>100,6240</v>
      </c>
      <c r="M26" s="13" t="s">
        <v>20</v>
      </c>
    </row>
    <row r="28" spans="5:6" ht="15">
      <c r="E28" s="19" t="s">
        <v>84</v>
      </c>
      <c r="F28" s="4" t="s">
        <v>613</v>
      </c>
    </row>
    <row r="29" spans="5:6" ht="15">
      <c r="E29" s="19" t="s">
        <v>85</v>
      </c>
      <c r="F29" s="4" t="s">
        <v>614</v>
      </c>
    </row>
    <row r="30" spans="5:6" ht="15">
      <c r="E30" s="19" t="s">
        <v>86</v>
      </c>
      <c r="F30" s="4" t="s">
        <v>613</v>
      </c>
    </row>
    <row r="31" spans="5:6" ht="15">
      <c r="E31" s="19" t="s">
        <v>87</v>
      </c>
      <c r="F31" s="4" t="s">
        <v>323</v>
      </c>
    </row>
    <row r="32" spans="5:6" ht="15">
      <c r="E32" s="19" t="s">
        <v>87</v>
      </c>
      <c r="F32" s="4" t="s">
        <v>615</v>
      </c>
    </row>
    <row r="33" ht="15">
      <c r="E33" s="19"/>
    </row>
    <row r="34" ht="15">
      <c r="E34" s="19"/>
    </row>
    <row r="36" spans="1:2" ht="18">
      <c r="A36" s="20" t="s">
        <v>88</v>
      </c>
      <c r="B36" s="20"/>
    </row>
    <row r="38" spans="1:2" ht="15">
      <c r="A38" s="21" t="s">
        <v>98</v>
      </c>
      <c r="B38" s="21"/>
    </row>
    <row r="39" spans="1:2" ht="14.25">
      <c r="A39" s="23"/>
      <c r="B39" s="24" t="s">
        <v>90</v>
      </c>
    </row>
    <row r="40" spans="1:5" ht="15">
      <c r="A40" s="25" t="s">
        <v>91</v>
      </c>
      <c r="B40" s="25" t="s">
        <v>92</v>
      </c>
      <c r="C40" s="25" t="s">
        <v>93</v>
      </c>
      <c r="D40" s="25" t="s">
        <v>94</v>
      </c>
      <c r="E40" s="25" t="s">
        <v>95</v>
      </c>
    </row>
    <row r="41" spans="1:5" ht="12.75">
      <c r="A41" s="22" t="s">
        <v>385</v>
      </c>
      <c r="B41" s="4" t="s">
        <v>90</v>
      </c>
      <c r="C41" s="4" t="s">
        <v>356</v>
      </c>
      <c r="D41" s="4" t="s">
        <v>336</v>
      </c>
      <c r="E41" s="26" t="s">
        <v>393</v>
      </c>
    </row>
    <row r="42" spans="1:5" ht="12.75">
      <c r="A42" s="22" t="s">
        <v>370</v>
      </c>
      <c r="B42" s="4" t="s">
        <v>90</v>
      </c>
      <c r="C42" s="4" t="s">
        <v>103</v>
      </c>
      <c r="D42" s="4" t="s">
        <v>343</v>
      </c>
      <c r="E42" s="26" t="s">
        <v>394</v>
      </c>
    </row>
    <row r="43" spans="1:5" ht="12.75">
      <c r="A43" s="22" t="s">
        <v>381</v>
      </c>
      <c r="B43" s="4" t="s">
        <v>105</v>
      </c>
      <c r="C43" s="4" t="s">
        <v>102</v>
      </c>
      <c r="D43" s="4" t="s">
        <v>375</v>
      </c>
      <c r="E43" s="26" t="s">
        <v>616</v>
      </c>
    </row>
  </sheetData>
  <sheetProtection/>
  <mergeCells count="17"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A14:L14"/>
    <mergeCell ref="A18:L18"/>
    <mergeCell ref="A24:L24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6"/>
  <sheetViews>
    <sheetView zoomScalePageLayoutView="0" workbookViewId="0" topLeftCell="A100">
      <selection activeCell="N22" sqref="N22"/>
    </sheetView>
  </sheetViews>
  <sheetFormatPr defaultColWidth="9.125" defaultRowHeight="12.75"/>
  <cols>
    <col min="1" max="1" width="28.625" style="4" bestFit="1" customWidth="1"/>
    <col min="2" max="2" width="29.00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2.3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160" t="s">
        <v>113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spans="1:13" s="2" customFormat="1" ht="61.5" customHeight="1" thickBot="1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5"/>
    </row>
    <row r="3" spans="1:13" s="1" customFormat="1" ht="12.75" customHeight="1">
      <c r="A3" s="166" t="s">
        <v>0</v>
      </c>
      <c r="B3" s="168" t="s">
        <v>5</v>
      </c>
      <c r="C3" s="168" t="s">
        <v>6</v>
      </c>
      <c r="D3" s="170" t="s">
        <v>9</v>
      </c>
      <c r="E3" s="170" t="s">
        <v>3</v>
      </c>
      <c r="F3" s="170" t="s">
        <v>7</v>
      </c>
      <c r="G3" s="170" t="s">
        <v>10</v>
      </c>
      <c r="H3" s="170"/>
      <c r="I3" s="170"/>
      <c r="J3" s="170"/>
      <c r="K3" s="170" t="s">
        <v>106</v>
      </c>
      <c r="L3" s="170" t="s">
        <v>2</v>
      </c>
      <c r="M3" s="158" t="s">
        <v>1</v>
      </c>
    </row>
    <row r="4" spans="1:13" s="1" customFormat="1" ht="21" customHeight="1" thickBot="1">
      <c r="A4" s="167"/>
      <c r="B4" s="169"/>
      <c r="C4" s="169"/>
      <c r="D4" s="169"/>
      <c r="E4" s="169"/>
      <c r="F4" s="169"/>
      <c r="G4" s="5">
        <v>1</v>
      </c>
      <c r="H4" s="5">
        <v>2</v>
      </c>
      <c r="I4" s="5">
        <v>3</v>
      </c>
      <c r="J4" s="5" t="s">
        <v>4</v>
      </c>
      <c r="K4" s="169"/>
      <c r="L4" s="169"/>
      <c r="M4" s="159"/>
    </row>
    <row r="5" spans="1:12" ht="15">
      <c r="A5" s="171" t="s">
        <v>11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</row>
    <row r="6" spans="1:13" ht="12.75">
      <c r="A6" s="7" t="s">
        <v>115</v>
      </c>
      <c r="B6" s="7" t="s">
        <v>116</v>
      </c>
      <c r="C6" s="7" t="s">
        <v>117</v>
      </c>
      <c r="D6" s="7" t="str">
        <f>"1,0521"</f>
        <v>1,0521</v>
      </c>
      <c r="E6" s="7" t="s">
        <v>15</v>
      </c>
      <c r="F6" s="7" t="s">
        <v>118</v>
      </c>
      <c r="G6" s="9" t="s">
        <v>119</v>
      </c>
      <c r="H6" s="9" t="s">
        <v>120</v>
      </c>
      <c r="I6" s="9" t="s">
        <v>121</v>
      </c>
      <c r="J6" s="8"/>
      <c r="K6" s="7" t="str">
        <f>"57,5"</f>
        <v>57,5</v>
      </c>
      <c r="L6" s="9" t="str">
        <f>"74,4098"</f>
        <v>74,4098</v>
      </c>
      <c r="M6" s="7" t="s">
        <v>20</v>
      </c>
    </row>
    <row r="7" spans="1:13" ht="12.75">
      <c r="A7" s="7" t="s">
        <v>122</v>
      </c>
      <c r="B7" s="7" t="s">
        <v>123</v>
      </c>
      <c r="C7" s="7" t="s">
        <v>124</v>
      </c>
      <c r="D7" s="7" t="str">
        <f>"1,0539"</f>
        <v>1,0539</v>
      </c>
      <c r="E7" s="7" t="s">
        <v>15</v>
      </c>
      <c r="F7" s="7" t="s">
        <v>16</v>
      </c>
      <c r="G7" s="9" t="s">
        <v>17</v>
      </c>
      <c r="H7" s="9" t="s">
        <v>18</v>
      </c>
      <c r="I7" s="9" t="s">
        <v>25</v>
      </c>
      <c r="J7" s="8"/>
      <c r="K7" s="7" t="str">
        <f>"47,5"</f>
        <v>47,5</v>
      </c>
      <c r="L7" s="9" t="str">
        <f>"50,5609"</f>
        <v>50,5609</v>
      </c>
      <c r="M7" s="7" t="s">
        <v>20</v>
      </c>
    </row>
    <row r="8" spans="1:13" ht="12.75">
      <c r="A8" s="7" t="s">
        <v>126</v>
      </c>
      <c r="B8" s="7" t="s">
        <v>127</v>
      </c>
      <c r="C8" s="7" t="s">
        <v>124</v>
      </c>
      <c r="D8" s="7" t="str">
        <f>"1,0539"</f>
        <v>1,0539</v>
      </c>
      <c r="E8" s="7" t="s">
        <v>15</v>
      </c>
      <c r="F8" s="7" t="s">
        <v>16</v>
      </c>
      <c r="G8" s="9" t="s">
        <v>128</v>
      </c>
      <c r="H8" s="8" t="s">
        <v>129</v>
      </c>
      <c r="I8" s="8" t="s">
        <v>129</v>
      </c>
      <c r="J8" s="8"/>
      <c r="K8" s="7" t="str">
        <f>"62,5"</f>
        <v>62,5</v>
      </c>
      <c r="L8" s="9" t="str">
        <f>"65,8688"</f>
        <v>65,8688</v>
      </c>
      <c r="M8" s="7" t="s">
        <v>20</v>
      </c>
    </row>
    <row r="10" spans="1:12" ht="15">
      <c r="A10" s="173" t="s">
        <v>21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</row>
    <row r="11" spans="1:13" ht="12.75">
      <c r="A11" s="7" t="s">
        <v>130</v>
      </c>
      <c r="B11" s="7" t="s">
        <v>131</v>
      </c>
      <c r="C11" s="7" t="s">
        <v>132</v>
      </c>
      <c r="D11" s="7" t="str">
        <f>"0,9754"</f>
        <v>0,9754</v>
      </c>
      <c r="E11" s="7" t="s">
        <v>15</v>
      </c>
      <c r="F11" s="7" t="s">
        <v>16</v>
      </c>
      <c r="G11" s="9" t="s">
        <v>133</v>
      </c>
      <c r="H11" s="9" t="s">
        <v>134</v>
      </c>
      <c r="I11" s="8" t="s">
        <v>135</v>
      </c>
      <c r="J11" s="8"/>
      <c r="K11" s="7" t="str">
        <f>"32,5"</f>
        <v>32,5</v>
      </c>
      <c r="L11" s="9" t="str">
        <f>"31,7021"</f>
        <v>31,7021</v>
      </c>
      <c r="M11" s="7" t="s">
        <v>20</v>
      </c>
    </row>
    <row r="13" spans="1:12" ht="15">
      <c r="A13" s="173" t="s">
        <v>26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</row>
    <row r="14" spans="1:13" ht="12.75">
      <c r="A14" s="7" t="s">
        <v>136</v>
      </c>
      <c r="B14" s="7" t="s">
        <v>137</v>
      </c>
      <c r="C14" s="7" t="s">
        <v>138</v>
      </c>
      <c r="D14" s="7" t="str">
        <f>"0,9180"</f>
        <v>0,9180</v>
      </c>
      <c r="E14" s="7" t="s">
        <v>15</v>
      </c>
      <c r="F14" s="7" t="s">
        <v>16</v>
      </c>
      <c r="G14" s="9" t="s">
        <v>17</v>
      </c>
      <c r="H14" s="8" t="s">
        <v>19</v>
      </c>
      <c r="I14" s="9" t="s">
        <v>19</v>
      </c>
      <c r="J14" s="8"/>
      <c r="K14" s="7" t="str">
        <f>"45,0"</f>
        <v>45,0</v>
      </c>
      <c r="L14" s="9" t="str">
        <f>"41,3100"</f>
        <v>41,3100</v>
      </c>
      <c r="M14" s="7" t="s">
        <v>20</v>
      </c>
    </row>
    <row r="16" spans="1:12" ht="15">
      <c r="A16" s="173" t="s">
        <v>34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</row>
    <row r="17" spans="1:13" ht="12.75">
      <c r="A17" s="7" t="s">
        <v>139</v>
      </c>
      <c r="B17" s="7" t="s">
        <v>140</v>
      </c>
      <c r="C17" s="7" t="s">
        <v>141</v>
      </c>
      <c r="D17" s="7" t="str">
        <f>"0,8986"</f>
        <v>0,8986</v>
      </c>
      <c r="E17" s="7" t="s">
        <v>15</v>
      </c>
      <c r="F17" s="7" t="s">
        <v>118</v>
      </c>
      <c r="G17" s="9" t="s">
        <v>119</v>
      </c>
      <c r="H17" s="9" t="s">
        <v>120</v>
      </c>
      <c r="I17" s="8" t="s">
        <v>142</v>
      </c>
      <c r="J17" s="8"/>
      <c r="K17" s="7" t="str">
        <f>"55,0"</f>
        <v>55,0</v>
      </c>
      <c r="L17" s="9" t="str">
        <f>"58,3224"</f>
        <v>58,3224</v>
      </c>
      <c r="M17" s="7" t="s">
        <v>20</v>
      </c>
    </row>
    <row r="18" spans="1:13" ht="12.75">
      <c r="A18" s="7" t="s">
        <v>143</v>
      </c>
      <c r="B18" s="7" t="s">
        <v>144</v>
      </c>
      <c r="C18" s="7" t="s">
        <v>145</v>
      </c>
      <c r="D18" s="7" t="str">
        <f>"0,8794"</f>
        <v>0,8794</v>
      </c>
      <c r="E18" s="7" t="s">
        <v>15</v>
      </c>
      <c r="F18" s="7" t="s">
        <v>16</v>
      </c>
      <c r="G18" s="9" t="s">
        <v>19</v>
      </c>
      <c r="H18" s="8" t="s">
        <v>119</v>
      </c>
      <c r="I18" s="9" t="s">
        <v>119</v>
      </c>
      <c r="J18" s="8"/>
      <c r="K18" s="7" t="str">
        <f>"50,0"</f>
        <v>50,0</v>
      </c>
      <c r="L18" s="9" t="str">
        <f>"43,9700"</f>
        <v>43,9700</v>
      </c>
      <c r="M18" s="7" t="s">
        <v>20</v>
      </c>
    </row>
    <row r="19" spans="1:13" ht="12.75">
      <c r="A19" s="7" t="s">
        <v>146</v>
      </c>
      <c r="B19" s="7" t="s">
        <v>147</v>
      </c>
      <c r="C19" s="7" t="s">
        <v>148</v>
      </c>
      <c r="D19" s="7" t="str">
        <f>"0,8640"</f>
        <v>0,8640</v>
      </c>
      <c r="E19" s="7" t="s">
        <v>15</v>
      </c>
      <c r="F19" s="7" t="s">
        <v>149</v>
      </c>
      <c r="G19" s="8" t="s">
        <v>25</v>
      </c>
      <c r="H19" s="9" t="s">
        <v>25</v>
      </c>
      <c r="I19" s="9" t="s">
        <v>119</v>
      </c>
      <c r="J19" s="8"/>
      <c r="K19" s="7" t="str">
        <f>"50,0"</f>
        <v>50,0</v>
      </c>
      <c r="L19" s="9" t="str">
        <f>"43,2000"</f>
        <v>43,2000</v>
      </c>
      <c r="M19" s="7" t="s">
        <v>20</v>
      </c>
    </row>
    <row r="21" spans="1:12" ht="15">
      <c r="A21" s="173" t="s">
        <v>150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</row>
    <row r="22" spans="1:13" ht="12.75">
      <c r="A22" s="152" t="s">
        <v>151</v>
      </c>
      <c r="B22" s="7" t="s">
        <v>152</v>
      </c>
      <c r="C22" s="7" t="s">
        <v>153</v>
      </c>
      <c r="D22" s="7" t="str">
        <f>"0,7954"</f>
        <v>0,7954</v>
      </c>
      <c r="E22" s="7" t="s">
        <v>15</v>
      </c>
      <c r="F22" s="7" t="s">
        <v>16</v>
      </c>
      <c r="G22" s="9" t="s">
        <v>154</v>
      </c>
      <c r="H22" s="9" t="s">
        <v>81</v>
      </c>
      <c r="I22" s="8" t="s">
        <v>155</v>
      </c>
      <c r="J22" s="8"/>
      <c r="K22" s="7" t="str">
        <f>"75,0"</f>
        <v>75,0</v>
      </c>
      <c r="L22" s="155" t="s">
        <v>729</v>
      </c>
      <c r="M22" s="7" t="s">
        <v>20</v>
      </c>
    </row>
    <row r="24" spans="1:12" ht="15">
      <c r="A24" s="173" t="s">
        <v>51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</row>
    <row r="25" spans="1:13" ht="12.75">
      <c r="A25" s="7" t="s">
        <v>156</v>
      </c>
      <c r="B25" s="7" t="s">
        <v>158</v>
      </c>
      <c r="C25" s="7" t="s">
        <v>157</v>
      </c>
      <c r="D25" s="7" t="str">
        <f>"0,6357"</f>
        <v>0,6357</v>
      </c>
      <c r="E25" s="7" t="s">
        <v>15</v>
      </c>
      <c r="F25" s="7" t="s">
        <v>16</v>
      </c>
      <c r="G25" s="9" t="s">
        <v>142</v>
      </c>
      <c r="H25" s="9" t="s">
        <v>128</v>
      </c>
      <c r="I25" s="9" t="s">
        <v>129</v>
      </c>
      <c r="J25" s="8"/>
      <c r="K25" s="7" t="str">
        <f>"65,0"</f>
        <v>65,0</v>
      </c>
      <c r="L25" s="9" t="str">
        <f>"45,1255"</f>
        <v>45,1255</v>
      </c>
      <c r="M25" s="7" t="s">
        <v>20</v>
      </c>
    </row>
    <row r="27" spans="1:12" ht="15">
      <c r="A27" s="173" t="s">
        <v>21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</row>
    <row r="28" spans="1:13" ht="12.75">
      <c r="A28" s="7" t="s">
        <v>159</v>
      </c>
      <c r="B28" s="7" t="s">
        <v>160</v>
      </c>
      <c r="C28" s="7" t="s">
        <v>161</v>
      </c>
      <c r="D28" s="7" t="str">
        <f>"1,1304"</f>
        <v>1,1304</v>
      </c>
      <c r="E28" s="7" t="s">
        <v>15</v>
      </c>
      <c r="F28" s="7" t="s">
        <v>16</v>
      </c>
      <c r="G28" s="9" t="s">
        <v>17</v>
      </c>
      <c r="H28" s="9" t="s">
        <v>19</v>
      </c>
      <c r="I28" s="8" t="s">
        <v>119</v>
      </c>
      <c r="J28" s="8"/>
      <c r="K28" s="7" t="str">
        <f>"45,0"</f>
        <v>45,0</v>
      </c>
      <c r="L28" s="9" t="str">
        <f>"60,0242"</f>
        <v>60,0242</v>
      </c>
      <c r="M28" s="7" t="s">
        <v>20</v>
      </c>
    </row>
    <row r="30" spans="1:12" ht="15">
      <c r="A30" s="173" t="s">
        <v>26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</row>
    <row r="31" spans="1:13" ht="12.75">
      <c r="A31" s="7" t="s">
        <v>162</v>
      </c>
      <c r="B31" s="7" t="s">
        <v>163</v>
      </c>
      <c r="C31" s="7" t="s">
        <v>164</v>
      </c>
      <c r="D31" s="7" t="str">
        <f>"0,8853"</f>
        <v>0,8853</v>
      </c>
      <c r="E31" s="7" t="s">
        <v>15</v>
      </c>
      <c r="F31" s="7" t="s">
        <v>118</v>
      </c>
      <c r="G31" s="9" t="s">
        <v>142</v>
      </c>
      <c r="H31" s="9" t="s">
        <v>128</v>
      </c>
      <c r="I31" s="9" t="s">
        <v>165</v>
      </c>
      <c r="J31" s="8"/>
      <c r="K31" s="7" t="str">
        <f>"67,5"</f>
        <v>67,5</v>
      </c>
      <c r="L31" s="9" t="str">
        <f>"73,5020"</f>
        <v>73,5020</v>
      </c>
      <c r="M31" s="7" t="s">
        <v>20</v>
      </c>
    </row>
    <row r="33" spans="1:12" ht="15">
      <c r="A33" s="173" t="s">
        <v>34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</row>
    <row r="34" spans="1:13" ht="12.75">
      <c r="A34" s="7" t="s">
        <v>166</v>
      </c>
      <c r="B34" s="7" t="s">
        <v>167</v>
      </c>
      <c r="C34" s="7" t="s">
        <v>168</v>
      </c>
      <c r="D34" s="7" t="str">
        <f>"0,8206"</f>
        <v>0,8206</v>
      </c>
      <c r="E34" s="7" t="s">
        <v>15</v>
      </c>
      <c r="F34" s="7" t="s">
        <v>169</v>
      </c>
      <c r="G34" s="9" t="s">
        <v>129</v>
      </c>
      <c r="H34" s="9" t="s">
        <v>154</v>
      </c>
      <c r="I34" s="9" t="s">
        <v>81</v>
      </c>
      <c r="J34" s="8"/>
      <c r="K34" s="7" t="str">
        <f>"75,0"</f>
        <v>75,0</v>
      </c>
      <c r="L34" s="9" t="str">
        <f>"75,7003"</f>
        <v>75,7003</v>
      </c>
      <c r="M34" s="7" t="s">
        <v>20</v>
      </c>
    </row>
    <row r="35" spans="1:13" ht="12.75">
      <c r="A35" s="7" t="s">
        <v>170</v>
      </c>
      <c r="B35" s="7" t="s">
        <v>171</v>
      </c>
      <c r="C35" s="7" t="s">
        <v>172</v>
      </c>
      <c r="D35" s="7" t="str">
        <f>"0,8613"</f>
        <v>0,8613</v>
      </c>
      <c r="E35" s="7" t="s">
        <v>15</v>
      </c>
      <c r="F35" s="7" t="s">
        <v>16</v>
      </c>
      <c r="G35" s="9" t="s">
        <v>154</v>
      </c>
      <c r="H35" s="9" t="s">
        <v>81</v>
      </c>
      <c r="I35" s="8" t="s">
        <v>173</v>
      </c>
      <c r="J35" s="8"/>
      <c r="K35" s="7" t="str">
        <f>"75,0"</f>
        <v>75,0</v>
      </c>
      <c r="L35" s="9" t="str">
        <f>"69,7653"</f>
        <v>69,7653</v>
      </c>
      <c r="M35" s="7" t="s">
        <v>20</v>
      </c>
    </row>
    <row r="36" spans="1:13" ht="12.75">
      <c r="A36" s="7" t="s">
        <v>174</v>
      </c>
      <c r="B36" s="7" t="s">
        <v>175</v>
      </c>
      <c r="C36" s="7" t="s">
        <v>148</v>
      </c>
      <c r="D36" s="7" t="str">
        <f>"0,8163"</f>
        <v>0,8163</v>
      </c>
      <c r="E36" s="7" t="s">
        <v>15</v>
      </c>
      <c r="F36" s="7" t="s">
        <v>16</v>
      </c>
      <c r="G36" s="9" t="s">
        <v>43</v>
      </c>
      <c r="H36" s="9" t="s">
        <v>176</v>
      </c>
      <c r="I36" s="9" t="s">
        <v>177</v>
      </c>
      <c r="J36" s="8"/>
      <c r="K36" s="7" t="str">
        <f>"135,0"</f>
        <v>135,0</v>
      </c>
      <c r="L36" s="9" t="str">
        <f>"110,2005"</f>
        <v>110,2005</v>
      </c>
      <c r="M36" s="7" t="s">
        <v>20</v>
      </c>
    </row>
    <row r="37" spans="1:13" ht="12.75">
      <c r="A37" s="7" t="s">
        <v>179</v>
      </c>
      <c r="B37" s="7" t="s">
        <v>180</v>
      </c>
      <c r="C37" s="7" t="s">
        <v>181</v>
      </c>
      <c r="D37" s="7" t="str">
        <f>"0,8249"</f>
        <v>0,8249</v>
      </c>
      <c r="E37" s="7" t="s">
        <v>15</v>
      </c>
      <c r="F37" s="7" t="s">
        <v>16</v>
      </c>
      <c r="G37" s="9" t="s">
        <v>42</v>
      </c>
      <c r="H37" s="9" t="s">
        <v>43</v>
      </c>
      <c r="I37" s="8" t="s">
        <v>176</v>
      </c>
      <c r="J37" s="8"/>
      <c r="K37" s="7" t="str">
        <f>"120,0"</f>
        <v>120,0</v>
      </c>
      <c r="L37" s="9" t="str">
        <f>"98,9940"</f>
        <v>98,9940</v>
      </c>
      <c r="M37" s="7" t="s">
        <v>20</v>
      </c>
    </row>
    <row r="39" spans="1:12" ht="15">
      <c r="A39" s="173" t="s">
        <v>150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</row>
    <row r="40" spans="1:13" ht="12.75">
      <c r="A40" s="7" t="s">
        <v>182</v>
      </c>
      <c r="B40" s="7" t="s">
        <v>183</v>
      </c>
      <c r="C40" s="7" t="s">
        <v>184</v>
      </c>
      <c r="D40" s="7" t="str">
        <f>"0,7535"</f>
        <v>0,7535</v>
      </c>
      <c r="E40" s="7" t="s">
        <v>15</v>
      </c>
      <c r="F40" s="7" t="s">
        <v>16</v>
      </c>
      <c r="G40" s="9" t="s">
        <v>81</v>
      </c>
      <c r="H40" s="9" t="s">
        <v>155</v>
      </c>
      <c r="I40" s="9" t="s">
        <v>82</v>
      </c>
      <c r="J40" s="8"/>
      <c r="K40" s="7" t="str">
        <f>"85,0"</f>
        <v>85,0</v>
      </c>
      <c r="L40" s="9" t="str">
        <f>"78,7784"</f>
        <v>78,7784</v>
      </c>
      <c r="M40" s="7" t="s">
        <v>20</v>
      </c>
    </row>
    <row r="42" spans="1:12" ht="15">
      <c r="A42" s="173" t="s">
        <v>185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</row>
    <row r="43" spans="1:13" ht="12.75">
      <c r="A43" s="10" t="s">
        <v>187</v>
      </c>
      <c r="B43" s="10" t="s">
        <v>188</v>
      </c>
      <c r="C43" s="10" t="s">
        <v>189</v>
      </c>
      <c r="D43" s="10" t="str">
        <f>"0,6774"</f>
        <v>0,6774</v>
      </c>
      <c r="E43" s="10" t="s">
        <v>15</v>
      </c>
      <c r="F43" s="10" t="s">
        <v>16</v>
      </c>
      <c r="G43" s="12" t="s">
        <v>177</v>
      </c>
      <c r="H43" s="12" t="s">
        <v>66</v>
      </c>
      <c r="I43" s="11" t="s">
        <v>56</v>
      </c>
      <c r="J43" s="11"/>
      <c r="K43" s="10" t="str">
        <f>"140,0"</f>
        <v>140,0</v>
      </c>
      <c r="L43" s="12" t="str">
        <f>"102,4229"</f>
        <v>102,4229</v>
      </c>
      <c r="M43" s="10" t="s">
        <v>20</v>
      </c>
    </row>
    <row r="44" spans="1:13" ht="12.75">
      <c r="A44" s="16" t="s">
        <v>190</v>
      </c>
      <c r="B44" s="16" t="s">
        <v>191</v>
      </c>
      <c r="C44" s="16" t="s">
        <v>192</v>
      </c>
      <c r="D44" s="16" t="str">
        <f>"0,6676"</f>
        <v>0,6676</v>
      </c>
      <c r="E44" s="16" t="s">
        <v>15</v>
      </c>
      <c r="F44" s="16" t="s">
        <v>16</v>
      </c>
      <c r="G44" s="18" t="s">
        <v>42</v>
      </c>
      <c r="H44" s="18" t="s">
        <v>43</v>
      </c>
      <c r="I44" s="18" t="s">
        <v>44</v>
      </c>
      <c r="J44" s="17"/>
      <c r="K44" s="16" t="str">
        <f>"125,0"</f>
        <v>125,0</v>
      </c>
      <c r="L44" s="18" t="str">
        <f>"83,4562"</f>
        <v>83,4562</v>
      </c>
      <c r="M44" s="16" t="s">
        <v>20</v>
      </c>
    </row>
    <row r="45" spans="1:13" ht="12.75">
      <c r="A45" s="16" t="s">
        <v>193</v>
      </c>
      <c r="B45" s="16" t="s">
        <v>194</v>
      </c>
      <c r="C45" s="16" t="s">
        <v>195</v>
      </c>
      <c r="D45" s="16" t="str">
        <f>"0,6831"</f>
        <v>0,6831</v>
      </c>
      <c r="E45" s="16" t="s">
        <v>15</v>
      </c>
      <c r="F45" s="16" t="s">
        <v>16</v>
      </c>
      <c r="G45" s="18" t="s">
        <v>196</v>
      </c>
      <c r="H45" s="18" t="s">
        <v>197</v>
      </c>
      <c r="I45" s="17" t="s">
        <v>43</v>
      </c>
      <c r="J45" s="17"/>
      <c r="K45" s="16" t="str">
        <f>"112,5"</f>
        <v>112,5</v>
      </c>
      <c r="L45" s="18" t="str">
        <f>"76,8544"</f>
        <v>76,8544</v>
      </c>
      <c r="M45" s="16" t="s">
        <v>20</v>
      </c>
    </row>
    <row r="46" spans="1:13" ht="12.75">
      <c r="A46" s="16" t="s">
        <v>198</v>
      </c>
      <c r="B46" s="16" t="s">
        <v>199</v>
      </c>
      <c r="C46" s="16" t="s">
        <v>200</v>
      </c>
      <c r="D46" s="16" t="str">
        <f>"0,6789"</f>
        <v>0,6789</v>
      </c>
      <c r="E46" s="16" t="s">
        <v>15</v>
      </c>
      <c r="F46" s="16" t="s">
        <v>16</v>
      </c>
      <c r="G46" s="17" t="s">
        <v>196</v>
      </c>
      <c r="H46" s="18" t="s">
        <v>201</v>
      </c>
      <c r="I46" s="18" t="s">
        <v>202</v>
      </c>
      <c r="J46" s="17"/>
      <c r="K46" s="16" t="str">
        <f>"110,0"</f>
        <v>110,0</v>
      </c>
      <c r="L46" s="18" t="str">
        <f>"74,6790"</f>
        <v>74,6790</v>
      </c>
      <c r="M46" s="16" t="s">
        <v>20</v>
      </c>
    </row>
    <row r="47" spans="1:13" ht="12.75">
      <c r="A47" s="16" t="s">
        <v>203</v>
      </c>
      <c r="B47" s="16" t="s">
        <v>204</v>
      </c>
      <c r="C47" s="16" t="s">
        <v>205</v>
      </c>
      <c r="D47" s="16" t="str">
        <f>"0,6662"</f>
        <v>0,6662</v>
      </c>
      <c r="E47" s="16" t="s">
        <v>15</v>
      </c>
      <c r="F47" s="16" t="s">
        <v>16</v>
      </c>
      <c r="G47" s="18" t="s">
        <v>202</v>
      </c>
      <c r="H47" s="17" t="s">
        <v>43</v>
      </c>
      <c r="I47" s="17" t="s">
        <v>43</v>
      </c>
      <c r="J47" s="17"/>
      <c r="K47" s="16" t="str">
        <f>"110,0"</f>
        <v>110,0</v>
      </c>
      <c r="L47" s="18" t="str">
        <f>"73,2875"</f>
        <v>73,2875</v>
      </c>
      <c r="M47" s="16" t="s">
        <v>20</v>
      </c>
    </row>
    <row r="48" spans="1:13" ht="12.75">
      <c r="A48" s="16" t="s">
        <v>206</v>
      </c>
      <c r="B48" s="16" t="s">
        <v>207</v>
      </c>
      <c r="C48" s="16" t="s">
        <v>205</v>
      </c>
      <c r="D48" s="16" t="str">
        <f>"0,6662"</f>
        <v>0,6662</v>
      </c>
      <c r="E48" s="16" t="s">
        <v>15</v>
      </c>
      <c r="F48" s="16" t="s">
        <v>16</v>
      </c>
      <c r="G48" s="18" t="s">
        <v>201</v>
      </c>
      <c r="H48" s="17" t="s">
        <v>42</v>
      </c>
      <c r="I48" s="17" t="s">
        <v>43</v>
      </c>
      <c r="J48" s="17"/>
      <c r="K48" s="16" t="str">
        <f>"107,5"</f>
        <v>107,5</v>
      </c>
      <c r="L48" s="18" t="str">
        <f>"71,6219"</f>
        <v>71,6219</v>
      </c>
      <c r="M48" s="16" t="s">
        <v>20</v>
      </c>
    </row>
    <row r="49" spans="1:13" ht="12.75">
      <c r="A49" s="13" t="s">
        <v>208</v>
      </c>
      <c r="B49" s="13" t="s">
        <v>209</v>
      </c>
      <c r="C49" s="13" t="s">
        <v>210</v>
      </c>
      <c r="D49" s="13" t="str">
        <f>"0,6666"</f>
        <v>0,6666</v>
      </c>
      <c r="E49" s="13" t="s">
        <v>15</v>
      </c>
      <c r="F49" s="13" t="s">
        <v>211</v>
      </c>
      <c r="G49" s="15" t="s">
        <v>82</v>
      </c>
      <c r="H49" s="15" t="s">
        <v>212</v>
      </c>
      <c r="I49" s="15" t="s">
        <v>83</v>
      </c>
      <c r="J49" s="14"/>
      <c r="K49" s="13" t="str">
        <f>"95,0"</f>
        <v>95,0</v>
      </c>
      <c r="L49" s="15" t="str">
        <f>"76,5623"</f>
        <v>76,5623</v>
      </c>
      <c r="M49" s="13" t="s">
        <v>20</v>
      </c>
    </row>
    <row r="51" spans="1:12" ht="15">
      <c r="A51" s="173" t="s">
        <v>38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</row>
    <row r="52" spans="1:13" ht="12.75">
      <c r="A52" s="10" t="s">
        <v>214</v>
      </c>
      <c r="B52" s="10" t="s">
        <v>215</v>
      </c>
      <c r="C52" s="10" t="s">
        <v>216</v>
      </c>
      <c r="D52" s="10" t="str">
        <f>"0,6361"</f>
        <v>0,6361</v>
      </c>
      <c r="E52" s="10" t="s">
        <v>15</v>
      </c>
      <c r="F52" s="10" t="s">
        <v>16</v>
      </c>
      <c r="G52" s="11" t="s">
        <v>60</v>
      </c>
      <c r="H52" s="12" t="s">
        <v>60</v>
      </c>
      <c r="I52" s="11" t="s">
        <v>217</v>
      </c>
      <c r="J52" s="11"/>
      <c r="K52" s="10" t="str">
        <f>"130,0"</f>
        <v>130,0</v>
      </c>
      <c r="L52" s="12" t="str">
        <f>"89,3084"</f>
        <v>89,3084</v>
      </c>
      <c r="M52" s="10" t="s">
        <v>20</v>
      </c>
    </row>
    <row r="53" spans="1:13" ht="12.75">
      <c r="A53" s="16" t="s">
        <v>219</v>
      </c>
      <c r="B53" s="16" t="s">
        <v>220</v>
      </c>
      <c r="C53" s="16" t="s">
        <v>221</v>
      </c>
      <c r="D53" s="16" t="str">
        <f>"0,6315"</f>
        <v>0,6315</v>
      </c>
      <c r="E53" s="16" t="s">
        <v>15</v>
      </c>
      <c r="F53" s="16" t="s">
        <v>16</v>
      </c>
      <c r="G53" s="18" t="s">
        <v>61</v>
      </c>
      <c r="H53" s="18" t="s">
        <v>177</v>
      </c>
      <c r="I53" s="18" t="s">
        <v>66</v>
      </c>
      <c r="J53" s="17"/>
      <c r="K53" s="16" t="str">
        <f>"140,0"</f>
        <v>140,0</v>
      </c>
      <c r="L53" s="18" t="str">
        <f>"88,4100"</f>
        <v>88,4100</v>
      </c>
      <c r="M53" s="16" t="s">
        <v>20</v>
      </c>
    </row>
    <row r="54" spans="1:13" ht="12.75">
      <c r="A54" s="16" t="s">
        <v>223</v>
      </c>
      <c r="B54" s="16" t="s">
        <v>224</v>
      </c>
      <c r="C54" s="16" t="s">
        <v>225</v>
      </c>
      <c r="D54" s="16" t="str">
        <f>"0,6284"</f>
        <v>0,6284</v>
      </c>
      <c r="E54" s="16" t="s">
        <v>15</v>
      </c>
      <c r="F54" s="16" t="s">
        <v>16</v>
      </c>
      <c r="G54" s="18" t="s">
        <v>226</v>
      </c>
      <c r="H54" s="18" t="s">
        <v>227</v>
      </c>
      <c r="I54" s="18" t="s">
        <v>228</v>
      </c>
      <c r="J54" s="17"/>
      <c r="K54" s="16" t="str">
        <f>"177,5"</f>
        <v>177,5</v>
      </c>
      <c r="L54" s="18" t="str">
        <f>"111,5410"</f>
        <v>111,5410</v>
      </c>
      <c r="M54" s="16" t="s">
        <v>20</v>
      </c>
    </row>
    <row r="55" spans="1:13" ht="12.75">
      <c r="A55" s="16" t="s">
        <v>229</v>
      </c>
      <c r="B55" s="16" t="s">
        <v>230</v>
      </c>
      <c r="C55" s="16" t="s">
        <v>225</v>
      </c>
      <c r="D55" s="16" t="str">
        <f>"0,6284"</f>
        <v>0,6284</v>
      </c>
      <c r="E55" s="16" t="s">
        <v>15</v>
      </c>
      <c r="F55" s="16" t="s">
        <v>16</v>
      </c>
      <c r="G55" s="18" t="s">
        <v>66</v>
      </c>
      <c r="H55" s="18" t="s">
        <v>231</v>
      </c>
      <c r="I55" s="18" t="s">
        <v>76</v>
      </c>
      <c r="J55" s="17"/>
      <c r="K55" s="16" t="str">
        <f>"150,0"</f>
        <v>150,0</v>
      </c>
      <c r="L55" s="18" t="str">
        <f>"94,2600"</f>
        <v>94,2600</v>
      </c>
      <c r="M55" s="16" t="s">
        <v>20</v>
      </c>
    </row>
    <row r="56" spans="1:13" ht="12.75">
      <c r="A56" s="16" t="s">
        <v>232</v>
      </c>
      <c r="B56" s="16" t="s">
        <v>233</v>
      </c>
      <c r="C56" s="16" t="s">
        <v>234</v>
      </c>
      <c r="D56" s="16" t="str">
        <f>"0,6486"</f>
        <v>0,6486</v>
      </c>
      <c r="E56" s="16" t="s">
        <v>15</v>
      </c>
      <c r="F56" s="16" t="s">
        <v>16</v>
      </c>
      <c r="G56" s="18" t="s">
        <v>60</v>
      </c>
      <c r="H56" s="18" t="s">
        <v>177</v>
      </c>
      <c r="I56" s="18" t="s">
        <v>66</v>
      </c>
      <c r="J56" s="17"/>
      <c r="K56" s="16" t="str">
        <f>"140,0"</f>
        <v>140,0</v>
      </c>
      <c r="L56" s="18" t="str">
        <f>"90,8040"</f>
        <v>90,8040</v>
      </c>
      <c r="M56" s="16" t="s">
        <v>20</v>
      </c>
    </row>
    <row r="57" spans="1:13" ht="12.75">
      <c r="A57" s="16" t="s">
        <v>235</v>
      </c>
      <c r="B57" s="16" t="s">
        <v>236</v>
      </c>
      <c r="C57" s="16" t="s">
        <v>237</v>
      </c>
      <c r="D57" s="16" t="str">
        <f>"0,6335"</f>
        <v>0,6335</v>
      </c>
      <c r="E57" s="16" t="s">
        <v>15</v>
      </c>
      <c r="F57" s="16" t="s">
        <v>16</v>
      </c>
      <c r="G57" s="18" t="s">
        <v>55</v>
      </c>
      <c r="H57" s="18" t="s">
        <v>60</v>
      </c>
      <c r="I57" s="18" t="s">
        <v>177</v>
      </c>
      <c r="J57" s="17"/>
      <c r="K57" s="16" t="str">
        <f>"135,0"</f>
        <v>135,0</v>
      </c>
      <c r="L57" s="18" t="str">
        <f>"85,5225"</f>
        <v>85,5225</v>
      </c>
      <c r="M57" s="16" t="s">
        <v>20</v>
      </c>
    </row>
    <row r="58" spans="1:13" ht="12.75">
      <c r="A58" s="16" t="s">
        <v>238</v>
      </c>
      <c r="B58" s="16" t="s">
        <v>239</v>
      </c>
      <c r="C58" s="16" t="s">
        <v>240</v>
      </c>
      <c r="D58" s="16" t="str">
        <f>"0,6332"</f>
        <v>0,6332</v>
      </c>
      <c r="E58" s="16" t="s">
        <v>15</v>
      </c>
      <c r="F58" s="16" t="s">
        <v>16</v>
      </c>
      <c r="G58" s="18" t="s">
        <v>43</v>
      </c>
      <c r="H58" s="18" t="s">
        <v>60</v>
      </c>
      <c r="I58" s="17" t="s">
        <v>177</v>
      </c>
      <c r="J58" s="17"/>
      <c r="K58" s="16" t="str">
        <f>"130,0"</f>
        <v>130,0</v>
      </c>
      <c r="L58" s="18" t="str">
        <f>"82,3160"</f>
        <v>82,3160</v>
      </c>
      <c r="M58" s="16" t="s">
        <v>20</v>
      </c>
    </row>
    <row r="59" spans="1:13" ht="12.75">
      <c r="A59" s="16" t="s">
        <v>223</v>
      </c>
      <c r="B59" s="16" t="s">
        <v>241</v>
      </c>
      <c r="C59" s="16" t="s">
        <v>225</v>
      </c>
      <c r="D59" s="16" t="str">
        <f>"0,6284"</f>
        <v>0,6284</v>
      </c>
      <c r="E59" s="16" t="s">
        <v>15</v>
      </c>
      <c r="F59" s="16" t="s">
        <v>16</v>
      </c>
      <c r="G59" s="18" t="s">
        <v>226</v>
      </c>
      <c r="H59" s="18" t="s">
        <v>227</v>
      </c>
      <c r="I59" s="18" t="s">
        <v>228</v>
      </c>
      <c r="J59" s="17"/>
      <c r="K59" s="16" t="str">
        <f>"177,5"</f>
        <v>177,5</v>
      </c>
      <c r="L59" s="18" t="str">
        <f>"112,5449"</f>
        <v>112,5449</v>
      </c>
      <c r="M59" s="16" t="s">
        <v>20</v>
      </c>
    </row>
    <row r="60" spans="1:13" ht="12.75">
      <c r="A60" s="13" t="s">
        <v>242</v>
      </c>
      <c r="B60" s="13" t="s">
        <v>243</v>
      </c>
      <c r="C60" s="13" t="s">
        <v>244</v>
      </c>
      <c r="D60" s="13" t="str">
        <f>"0,6292"</f>
        <v>0,6292</v>
      </c>
      <c r="E60" s="13" t="s">
        <v>15</v>
      </c>
      <c r="F60" s="13" t="s">
        <v>16</v>
      </c>
      <c r="G60" s="15" t="s">
        <v>43</v>
      </c>
      <c r="H60" s="15" t="s">
        <v>60</v>
      </c>
      <c r="I60" s="15" t="s">
        <v>177</v>
      </c>
      <c r="J60" s="14"/>
      <c r="K60" s="13" t="str">
        <f>"135,0"</f>
        <v>135,0</v>
      </c>
      <c r="L60" s="15" t="str">
        <f>"92,7640"</f>
        <v>92,7640</v>
      </c>
      <c r="M60" s="13" t="s">
        <v>20</v>
      </c>
    </row>
    <row r="62" spans="1:12" ht="15">
      <c r="A62" s="173" t="s">
        <v>51</v>
      </c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</row>
    <row r="63" spans="1:13" ht="12.75">
      <c r="A63" s="10" t="s">
        <v>245</v>
      </c>
      <c r="B63" s="10" t="s">
        <v>246</v>
      </c>
      <c r="C63" s="10" t="s">
        <v>247</v>
      </c>
      <c r="D63" s="10" t="str">
        <f>"0,5928"</f>
        <v>0,5928</v>
      </c>
      <c r="E63" s="10" t="s">
        <v>15</v>
      </c>
      <c r="F63" s="10" t="s">
        <v>16</v>
      </c>
      <c r="G63" s="12" t="s">
        <v>60</v>
      </c>
      <c r="H63" s="12" t="s">
        <v>177</v>
      </c>
      <c r="I63" s="12" t="s">
        <v>66</v>
      </c>
      <c r="J63" s="11"/>
      <c r="K63" s="10" t="str">
        <f>"140,0"</f>
        <v>140,0</v>
      </c>
      <c r="L63" s="12" t="str">
        <f>"83,8219"</f>
        <v>83,8219</v>
      </c>
      <c r="M63" s="10" t="s">
        <v>20</v>
      </c>
    </row>
    <row r="64" spans="1:13" ht="12.75">
      <c r="A64" s="16" t="s">
        <v>248</v>
      </c>
      <c r="B64" s="16" t="s">
        <v>249</v>
      </c>
      <c r="C64" s="16" t="s">
        <v>250</v>
      </c>
      <c r="D64" s="16" t="str">
        <f>"0,5865"</f>
        <v>0,5865</v>
      </c>
      <c r="E64" s="16" t="s">
        <v>15</v>
      </c>
      <c r="F64" s="16" t="s">
        <v>149</v>
      </c>
      <c r="G64" s="18" t="s">
        <v>228</v>
      </c>
      <c r="H64" s="18" t="s">
        <v>251</v>
      </c>
      <c r="I64" s="18" t="s">
        <v>252</v>
      </c>
      <c r="J64" s="17"/>
      <c r="K64" s="16" t="str">
        <f>"185,0"</f>
        <v>185,0</v>
      </c>
      <c r="L64" s="18" t="str">
        <f>"108,5025"</f>
        <v>108,5025</v>
      </c>
      <c r="M64" s="16" t="s">
        <v>20</v>
      </c>
    </row>
    <row r="65" spans="1:13" ht="12.75">
      <c r="A65" s="16" t="s">
        <v>253</v>
      </c>
      <c r="B65" s="16" t="s">
        <v>254</v>
      </c>
      <c r="C65" s="16" t="s">
        <v>255</v>
      </c>
      <c r="D65" s="16" t="str">
        <f>"0,5873"</f>
        <v>0,5873</v>
      </c>
      <c r="E65" s="16" t="s">
        <v>15</v>
      </c>
      <c r="F65" s="16" t="s">
        <v>16</v>
      </c>
      <c r="G65" s="18" t="s">
        <v>256</v>
      </c>
      <c r="H65" s="18" t="s">
        <v>226</v>
      </c>
      <c r="I65" s="18" t="s">
        <v>227</v>
      </c>
      <c r="J65" s="17"/>
      <c r="K65" s="16" t="str">
        <f>"175,0"</f>
        <v>175,0</v>
      </c>
      <c r="L65" s="18" t="str">
        <f>"102,7775"</f>
        <v>102,7775</v>
      </c>
      <c r="M65" s="16" t="s">
        <v>20</v>
      </c>
    </row>
    <row r="66" spans="1:13" ht="12.75">
      <c r="A66" s="16" t="s">
        <v>257</v>
      </c>
      <c r="B66" s="16" t="s">
        <v>258</v>
      </c>
      <c r="C66" s="16" t="s">
        <v>259</v>
      </c>
      <c r="D66" s="16" t="str">
        <f>"0,5867"</f>
        <v>0,5867</v>
      </c>
      <c r="E66" s="16" t="s">
        <v>15</v>
      </c>
      <c r="F66" s="16" t="s">
        <v>16</v>
      </c>
      <c r="G66" s="18" t="s">
        <v>226</v>
      </c>
      <c r="H66" s="17" t="s">
        <v>228</v>
      </c>
      <c r="I66" s="17" t="s">
        <v>228</v>
      </c>
      <c r="J66" s="17"/>
      <c r="K66" s="16" t="str">
        <f>"170,0"</f>
        <v>170,0</v>
      </c>
      <c r="L66" s="18" t="str">
        <f>"99,7390"</f>
        <v>99,7390</v>
      </c>
      <c r="M66" s="16" t="s">
        <v>20</v>
      </c>
    </row>
    <row r="67" spans="1:13" ht="12.75">
      <c r="A67" s="16" t="s">
        <v>260</v>
      </c>
      <c r="B67" s="16" t="s">
        <v>261</v>
      </c>
      <c r="C67" s="16" t="s">
        <v>262</v>
      </c>
      <c r="D67" s="16" t="str">
        <f>"0,6045"</f>
        <v>0,6045</v>
      </c>
      <c r="E67" s="16" t="s">
        <v>15</v>
      </c>
      <c r="F67" s="16" t="s">
        <v>16</v>
      </c>
      <c r="G67" s="18" t="s">
        <v>177</v>
      </c>
      <c r="H67" s="18" t="s">
        <v>75</v>
      </c>
      <c r="I67" s="17" t="s">
        <v>70</v>
      </c>
      <c r="J67" s="17"/>
      <c r="K67" s="16" t="str">
        <f>"145,0"</f>
        <v>145,0</v>
      </c>
      <c r="L67" s="18" t="str">
        <f>"87,6525"</f>
        <v>87,6525</v>
      </c>
      <c r="M67" s="16" t="s">
        <v>20</v>
      </c>
    </row>
    <row r="68" spans="1:13" ht="12.75">
      <c r="A68" s="16" t="s">
        <v>263</v>
      </c>
      <c r="B68" s="16" t="s">
        <v>264</v>
      </c>
      <c r="C68" s="16" t="s">
        <v>265</v>
      </c>
      <c r="D68" s="16" t="str">
        <f>"0,5952"</f>
        <v>0,5952</v>
      </c>
      <c r="E68" s="16" t="s">
        <v>15</v>
      </c>
      <c r="F68" s="16" t="s">
        <v>16</v>
      </c>
      <c r="G68" s="18" t="s">
        <v>177</v>
      </c>
      <c r="H68" s="18" t="s">
        <v>56</v>
      </c>
      <c r="I68" s="17" t="s">
        <v>70</v>
      </c>
      <c r="J68" s="17"/>
      <c r="K68" s="16" t="str">
        <f>"142,5"</f>
        <v>142,5</v>
      </c>
      <c r="L68" s="18" t="str">
        <f>"84,8160"</f>
        <v>84,8160</v>
      </c>
      <c r="M68" s="16" t="s">
        <v>20</v>
      </c>
    </row>
    <row r="69" spans="1:13" ht="12.75">
      <c r="A69" s="16" t="s">
        <v>266</v>
      </c>
      <c r="B69" s="16" t="s">
        <v>267</v>
      </c>
      <c r="C69" s="16" t="s">
        <v>268</v>
      </c>
      <c r="D69" s="16" t="str">
        <f>"0,5937"</f>
        <v>0,5937</v>
      </c>
      <c r="E69" s="16" t="s">
        <v>15</v>
      </c>
      <c r="F69" s="16" t="s">
        <v>16</v>
      </c>
      <c r="G69" s="18" t="s">
        <v>43</v>
      </c>
      <c r="H69" s="18" t="s">
        <v>177</v>
      </c>
      <c r="I69" s="17" t="s">
        <v>66</v>
      </c>
      <c r="J69" s="17"/>
      <c r="K69" s="16" t="str">
        <f>"135,0"</f>
        <v>135,0</v>
      </c>
      <c r="L69" s="18" t="str">
        <f>"80,1495"</f>
        <v>80,1495</v>
      </c>
      <c r="M69" s="16" t="s">
        <v>20</v>
      </c>
    </row>
    <row r="70" spans="1:13" ht="12.75">
      <c r="A70" s="16" t="s">
        <v>269</v>
      </c>
      <c r="B70" s="16" t="s">
        <v>270</v>
      </c>
      <c r="C70" s="16" t="s">
        <v>271</v>
      </c>
      <c r="D70" s="16" t="str">
        <f>"0,5877"</f>
        <v>0,5877</v>
      </c>
      <c r="E70" s="16" t="s">
        <v>15</v>
      </c>
      <c r="F70" s="16" t="s">
        <v>16</v>
      </c>
      <c r="G70" s="17" t="s">
        <v>70</v>
      </c>
      <c r="H70" s="17" t="s">
        <v>70</v>
      </c>
      <c r="I70" s="17" t="s">
        <v>70</v>
      </c>
      <c r="J70" s="17"/>
      <c r="K70" s="16" t="str">
        <f>"0.00"</f>
        <v>0.00</v>
      </c>
      <c r="L70" s="18" t="str">
        <f>"0,0000"</f>
        <v>0,0000</v>
      </c>
      <c r="M70" s="16" t="s">
        <v>20</v>
      </c>
    </row>
    <row r="71" spans="1:13" ht="12.75">
      <c r="A71" s="16" t="s">
        <v>272</v>
      </c>
      <c r="B71" s="16" t="s">
        <v>273</v>
      </c>
      <c r="C71" s="16" t="s">
        <v>274</v>
      </c>
      <c r="D71" s="16" t="str">
        <f>"0,5871"</f>
        <v>0,5871</v>
      </c>
      <c r="E71" s="16" t="s">
        <v>15</v>
      </c>
      <c r="F71" s="16" t="s">
        <v>16</v>
      </c>
      <c r="G71" s="18" t="s">
        <v>44</v>
      </c>
      <c r="H71" s="18" t="s">
        <v>60</v>
      </c>
      <c r="I71" s="18" t="s">
        <v>177</v>
      </c>
      <c r="J71" s="17"/>
      <c r="K71" s="16" t="str">
        <f>"135,0"</f>
        <v>135,0</v>
      </c>
      <c r="L71" s="18" t="str">
        <f>"79,9718"</f>
        <v>79,9718</v>
      </c>
      <c r="M71" s="16" t="s">
        <v>20</v>
      </c>
    </row>
    <row r="72" spans="1:13" ht="12.75">
      <c r="A72" s="16" t="s">
        <v>275</v>
      </c>
      <c r="B72" s="16" t="s">
        <v>276</v>
      </c>
      <c r="C72" s="16" t="s">
        <v>255</v>
      </c>
      <c r="D72" s="16" t="str">
        <f>"0,5873"</f>
        <v>0,5873</v>
      </c>
      <c r="E72" s="16" t="s">
        <v>15</v>
      </c>
      <c r="F72" s="16" t="s">
        <v>16</v>
      </c>
      <c r="G72" s="17" t="s">
        <v>202</v>
      </c>
      <c r="H72" s="17" t="s">
        <v>202</v>
      </c>
      <c r="I72" s="17" t="s">
        <v>202</v>
      </c>
      <c r="J72" s="17"/>
      <c r="K72" s="16" t="str">
        <f>"0.00"</f>
        <v>0.00</v>
      </c>
      <c r="L72" s="18" t="str">
        <f>"0,0000"</f>
        <v>0,0000</v>
      </c>
      <c r="M72" s="16" t="s">
        <v>20</v>
      </c>
    </row>
    <row r="73" spans="1:13" ht="12.75">
      <c r="A73" s="16" t="s">
        <v>277</v>
      </c>
      <c r="B73" s="16" t="s">
        <v>278</v>
      </c>
      <c r="C73" s="16" t="s">
        <v>279</v>
      </c>
      <c r="D73" s="16" t="str">
        <f>"0,5958"</f>
        <v>0,5958</v>
      </c>
      <c r="E73" s="16" t="s">
        <v>15</v>
      </c>
      <c r="F73" s="16" t="s">
        <v>16</v>
      </c>
      <c r="G73" s="18" t="s">
        <v>70</v>
      </c>
      <c r="H73" s="18" t="s">
        <v>256</v>
      </c>
      <c r="I73" s="17" t="s">
        <v>280</v>
      </c>
      <c r="J73" s="17"/>
      <c r="K73" s="16" t="str">
        <f>"160,0"</f>
        <v>160,0</v>
      </c>
      <c r="L73" s="18" t="str">
        <f>"106,4814"</f>
        <v>106,4814</v>
      </c>
      <c r="M73" s="16" t="s">
        <v>20</v>
      </c>
    </row>
    <row r="74" spans="1:13" ht="12.75">
      <c r="A74" s="16" t="s">
        <v>281</v>
      </c>
      <c r="B74" s="16" t="s">
        <v>282</v>
      </c>
      <c r="C74" s="16" t="s">
        <v>283</v>
      </c>
      <c r="D74" s="16" t="str">
        <f>"0,5922"</f>
        <v>0,5922</v>
      </c>
      <c r="E74" s="16" t="s">
        <v>15</v>
      </c>
      <c r="F74" s="16" t="s">
        <v>16</v>
      </c>
      <c r="G74" s="18" t="s">
        <v>177</v>
      </c>
      <c r="H74" s="18" t="s">
        <v>66</v>
      </c>
      <c r="I74" s="18" t="s">
        <v>56</v>
      </c>
      <c r="J74" s="17"/>
      <c r="K74" s="16" t="str">
        <f>"142,5"</f>
        <v>142,5</v>
      </c>
      <c r="L74" s="18" t="str">
        <f>"92,1522"</f>
        <v>92,1522</v>
      </c>
      <c r="M74" s="16" t="s">
        <v>20</v>
      </c>
    </row>
    <row r="75" spans="1:13" ht="12.75">
      <c r="A75" s="16" t="s">
        <v>285</v>
      </c>
      <c r="B75" s="16" t="s">
        <v>286</v>
      </c>
      <c r="C75" s="16" t="s">
        <v>287</v>
      </c>
      <c r="D75" s="16" t="str">
        <f>"0,5853"</f>
        <v>0,5853</v>
      </c>
      <c r="E75" s="16" t="s">
        <v>15</v>
      </c>
      <c r="F75" s="16" t="s">
        <v>16</v>
      </c>
      <c r="G75" s="18" t="s">
        <v>76</v>
      </c>
      <c r="H75" s="18" t="s">
        <v>112</v>
      </c>
      <c r="I75" s="18" t="s">
        <v>256</v>
      </c>
      <c r="J75" s="17"/>
      <c r="K75" s="16" t="str">
        <f>"160,0"</f>
        <v>160,0</v>
      </c>
      <c r="L75" s="18" t="str">
        <f>"154,0510"</f>
        <v>154,0510</v>
      </c>
      <c r="M75" s="16" t="s">
        <v>20</v>
      </c>
    </row>
    <row r="76" spans="1:13" ht="12.75">
      <c r="A76" s="16" t="s">
        <v>288</v>
      </c>
      <c r="B76" s="16" t="s">
        <v>289</v>
      </c>
      <c r="C76" s="16" t="s">
        <v>290</v>
      </c>
      <c r="D76" s="16" t="str">
        <f>"0,5857"</f>
        <v>0,5857</v>
      </c>
      <c r="E76" s="16" t="s">
        <v>15</v>
      </c>
      <c r="F76" s="16" t="s">
        <v>16</v>
      </c>
      <c r="G76" s="18" t="s">
        <v>44</v>
      </c>
      <c r="H76" s="17" t="s">
        <v>177</v>
      </c>
      <c r="I76" s="17" t="s">
        <v>177</v>
      </c>
      <c r="J76" s="17"/>
      <c r="K76" s="16" t="str">
        <f>"125,0"</f>
        <v>125,0</v>
      </c>
      <c r="L76" s="18" t="str">
        <f>"124,4612"</f>
        <v>124,4612</v>
      </c>
      <c r="M76" s="16" t="s">
        <v>20</v>
      </c>
    </row>
    <row r="77" spans="1:13" ht="12.75">
      <c r="A77" s="13" t="s">
        <v>291</v>
      </c>
      <c r="B77" s="13" t="s">
        <v>292</v>
      </c>
      <c r="C77" s="13" t="s">
        <v>293</v>
      </c>
      <c r="D77" s="13" t="str">
        <f>"0,5920"</f>
        <v>0,5920</v>
      </c>
      <c r="E77" s="13" t="s">
        <v>15</v>
      </c>
      <c r="F77" s="13" t="s">
        <v>16</v>
      </c>
      <c r="G77" s="15" t="s">
        <v>44</v>
      </c>
      <c r="H77" s="15" t="s">
        <v>176</v>
      </c>
      <c r="I77" s="14" t="s">
        <v>60</v>
      </c>
      <c r="J77" s="14"/>
      <c r="K77" s="13" t="str">
        <f>"127,5"</f>
        <v>127,5</v>
      </c>
      <c r="L77" s="15" t="str">
        <f>"151,7148"</f>
        <v>151,7148</v>
      </c>
      <c r="M77" s="13" t="s">
        <v>20</v>
      </c>
    </row>
    <row r="79" spans="1:12" ht="15">
      <c r="A79" s="173" t="s">
        <v>62</v>
      </c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</row>
    <row r="80" spans="1:13" ht="12.75">
      <c r="A80" s="10" t="s">
        <v>63</v>
      </c>
      <c r="B80" s="10" t="s">
        <v>64</v>
      </c>
      <c r="C80" s="10" t="s">
        <v>65</v>
      </c>
      <c r="D80" s="10" t="str">
        <f>"0,5678"</f>
        <v>0,5678</v>
      </c>
      <c r="E80" s="10" t="s">
        <v>15</v>
      </c>
      <c r="F80" s="10" t="s">
        <v>16</v>
      </c>
      <c r="G80" s="12" t="s">
        <v>60</v>
      </c>
      <c r="H80" s="12" t="s">
        <v>56</v>
      </c>
      <c r="I80" s="11" t="s">
        <v>75</v>
      </c>
      <c r="J80" s="11"/>
      <c r="K80" s="10" t="str">
        <f>"142,5"</f>
        <v>142,5</v>
      </c>
      <c r="L80" s="12" t="str">
        <f>"82,5297"</f>
        <v>82,5297</v>
      </c>
      <c r="M80" s="10" t="s">
        <v>20</v>
      </c>
    </row>
    <row r="81" spans="1:13" ht="12.75">
      <c r="A81" s="16" t="s">
        <v>294</v>
      </c>
      <c r="B81" s="16" t="s">
        <v>295</v>
      </c>
      <c r="C81" s="16" t="s">
        <v>296</v>
      </c>
      <c r="D81" s="16" t="str">
        <f>"0,5609"</f>
        <v>0,5609</v>
      </c>
      <c r="E81" s="16" t="s">
        <v>15</v>
      </c>
      <c r="F81" s="16" t="s">
        <v>211</v>
      </c>
      <c r="G81" s="18" t="s">
        <v>227</v>
      </c>
      <c r="H81" s="18" t="s">
        <v>251</v>
      </c>
      <c r="I81" s="18" t="s">
        <v>297</v>
      </c>
      <c r="J81" s="17"/>
      <c r="K81" s="16" t="str">
        <f>"187,5"</f>
        <v>187,5</v>
      </c>
      <c r="L81" s="18" t="str">
        <f>"105,1687"</f>
        <v>105,1687</v>
      </c>
      <c r="M81" s="16" t="s">
        <v>20</v>
      </c>
    </row>
    <row r="82" spans="1:13" ht="12.75">
      <c r="A82" s="16" t="s">
        <v>299</v>
      </c>
      <c r="B82" s="16" t="s">
        <v>300</v>
      </c>
      <c r="C82" s="16" t="s">
        <v>301</v>
      </c>
      <c r="D82" s="16" t="str">
        <f>"0,5694"</f>
        <v>0,5694</v>
      </c>
      <c r="E82" s="16" t="s">
        <v>15</v>
      </c>
      <c r="F82" s="16" t="s">
        <v>302</v>
      </c>
      <c r="G82" s="18" t="s">
        <v>56</v>
      </c>
      <c r="H82" s="18" t="s">
        <v>280</v>
      </c>
      <c r="I82" s="18" t="s">
        <v>226</v>
      </c>
      <c r="J82" s="17"/>
      <c r="K82" s="16" t="str">
        <f>"170,0"</f>
        <v>170,0</v>
      </c>
      <c r="L82" s="18" t="str">
        <f>"96,7980"</f>
        <v>96,7980</v>
      </c>
      <c r="M82" s="16" t="s">
        <v>20</v>
      </c>
    </row>
    <row r="83" spans="1:13" ht="12.75">
      <c r="A83" s="16" t="s">
        <v>303</v>
      </c>
      <c r="B83" s="16" t="s">
        <v>304</v>
      </c>
      <c r="C83" s="16" t="s">
        <v>305</v>
      </c>
      <c r="D83" s="16" t="str">
        <f>"0,5612"</f>
        <v>0,5612</v>
      </c>
      <c r="E83" s="16" t="s">
        <v>15</v>
      </c>
      <c r="F83" s="16" t="s">
        <v>16</v>
      </c>
      <c r="G83" s="18" t="s">
        <v>70</v>
      </c>
      <c r="H83" s="18" t="s">
        <v>280</v>
      </c>
      <c r="I83" s="18" t="s">
        <v>306</v>
      </c>
      <c r="J83" s="17"/>
      <c r="K83" s="16" t="str">
        <f>"167,5"</f>
        <v>167,5</v>
      </c>
      <c r="L83" s="18" t="str">
        <f>"93,9926"</f>
        <v>93,9926</v>
      </c>
      <c r="M83" s="16" t="s">
        <v>20</v>
      </c>
    </row>
    <row r="84" spans="1:13" ht="12.75">
      <c r="A84" s="16" t="s">
        <v>67</v>
      </c>
      <c r="B84" s="16" t="s">
        <v>68</v>
      </c>
      <c r="C84" s="16" t="s">
        <v>69</v>
      </c>
      <c r="D84" s="16" t="str">
        <f>"0,5573"</f>
        <v>0,5573</v>
      </c>
      <c r="E84" s="16" t="s">
        <v>15</v>
      </c>
      <c r="F84" s="16" t="s">
        <v>16</v>
      </c>
      <c r="G84" s="18" t="s">
        <v>76</v>
      </c>
      <c r="H84" s="18" t="s">
        <v>70</v>
      </c>
      <c r="I84" s="18" t="s">
        <v>256</v>
      </c>
      <c r="J84" s="17"/>
      <c r="K84" s="16" t="str">
        <f>"160,0"</f>
        <v>160,0</v>
      </c>
      <c r="L84" s="18" t="str">
        <f>"89,9705"</f>
        <v>89,9705</v>
      </c>
      <c r="M84" s="16" t="s">
        <v>20</v>
      </c>
    </row>
    <row r="85" spans="1:13" ht="12.75">
      <c r="A85" s="16" t="s">
        <v>72</v>
      </c>
      <c r="B85" s="16" t="s">
        <v>73</v>
      </c>
      <c r="C85" s="16" t="s">
        <v>74</v>
      </c>
      <c r="D85" s="16" t="str">
        <f>"0,5608"</f>
        <v>0,5608</v>
      </c>
      <c r="E85" s="16" t="s">
        <v>15</v>
      </c>
      <c r="F85" s="16" t="s">
        <v>16</v>
      </c>
      <c r="G85" s="18" t="s">
        <v>75</v>
      </c>
      <c r="H85" s="18" t="s">
        <v>76</v>
      </c>
      <c r="I85" s="18" t="s">
        <v>70</v>
      </c>
      <c r="J85" s="17"/>
      <c r="K85" s="16" t="str">
        <f>"155,0"</f>
        <v>155,0</v>
      </c>
      <c r="L85" s="18" t="str">
        <f>"87,7063"</f>
        <v>87,7063</v>
      </c>
      <c r="M85" s="16" t="s">
        <v>20</v>
      </c>
    </row>
    <row r="86" spans="1:13" ht="12.75">
      <c r="A86" s="13" t="s">
        <v>307</v>
      </c>
      <c r="B86" s="13" t="s">
        <v>308</v>
      </c>
      <c r="C86" s="13" t="s">
        <v>309</v>
      </c>
      <c r="D86" s="13" t="str">
        <f>"0,5840"</f>
        <v>0,5840</v>
      </c>
      <c r="E86" s="13" t="s">
        <v>15</v>
      </c>
      <c r="F86" s="13" t="s">
        <v>211</v>
      </c>
      <c r="G86" s="15" t="s">
        <v>60</v>
      </c>
      <c r="H86" s="15" t="s">
        <v>177</v>
      </c>
      <c r="I86" s="15" t="s">
        <v>217</v>
      </c>
      <c r="J86" s="14"/>
      <c r="K86" s="13" t="str">
        <f>"137,5"</f>
        <v>137,5</v>
      </c>
      <c r="L86" s="15" t="str">
        <f>"89,6951"</f>
        <v>89,6951</v>
      </c>
      <c r="M86" s="13" t="s">
        <v>20</v>
      </c>
    </row>
    <row r="88" spans="1:12" ht="15">
      <c r="A88" s="173" t="s">
        <v>77</v>
      </c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</row>
    <row r="89" spans="1:13" ht="12.75">
      <c r="A89" s="10" t="s">
        <v>310</v>
      </c>
      <c r="B89" s="10" t="s">
        <v>311</v>
      </c>
      <c r="C89" s="10" t="s">
        <v>312</v>
      </c>
      <c r="D89" s="10" t="str">
        <f>"0,5385"</f>
        <v>0,5385</v>
      </c>
      <c r="E89" s="10" t="s">
        <v>15</v>
      </c>
      <c r="F89" s="10" t="s">
        <v>313</v>
      </c>
      <c r="G89" s="12" t="s">
        <v>71</v>
      </c>
      <c r="H89" s="12" t="s">
        <v>226</v>
      </c>
      <c r="I89" s="11" t="s">
        <v>314</v>
      </c>
      <c r="J89" s="11"/>
      <c r="K89" s="10" t="str">
        <f>"170,0"</f>
        <v>170,0</v>
      </c>
      <c r="L89" s="12" t="str">
        <f>"91,5365"</f>
        <v>91,5365</v>
      </c>
      <c r="M89" s="10" t="s">
        <v>20</v>
      </c>
    </row>
    <row r="90" spans="1:13" ht="12.75">
      <c r="A90" s="16" t="s">
        <v>315</v>
      </c>
      <c r="B90" s="16" t="s">
        <v>316</v>
      </c>
      <c r="C90" s="16" t="s">
        <v>317</v>
      </c>
      <c r="D90" s="16" t="str">
        <f>"0,5386"</f>
        <v>0,5386</v>
      </c>
      <c r="E90" s="16" t="s">
        <v>15</v>
      </c>
      <c r="F90" s="16" t="s">
        <v>16</v>
      </c>
      <c r="G90" s="18" t="s">
        <v>60</v>
      </c>
      <c r="H90" s="18" t="s">
        <v>56</v>
      </c>
      <c r="I90" s="18" t="s">
        <v>231</v>
      </c>
      <c r="J90" s="17"/>
      <c r="K90" s="16" t="str">
        <f>"147,5"</f>
        <v>147,5</v>
      </c>
      <c r="L90" s="18" t="str">
        <f>"80,1585"</f>
        <v>80,1585</v>
      </c>
      <c r="M90" s="16" t="s">
        <v>20</v>
      </c>
    </row>
    <row r="91" spans="1:13" ht="12.75">
      <c r="A91" s="13" t="s">
        <v>318</v>
      </c>
      <c r="B91" s="13" t="s">
        <v>319</v>
      </c>
      <c r="C91" s="13" t="s">
        <v>320</v>
      </c>
      <c r="D91" s="13" t="str">
        <f>"0,5392"</f>
        <v>0,5392</v>
      </c>
      <c r="E91" s="13" t="s">
        <v>15</v>
      </c>
      <c r="F91" s="13" t="s">
        <v>16</v>
      </c>
      <c r="G91" s="15" t="s">
        <v>66</v>
      </c>
      <c r="H91" s="15" t="s">
        <v>321</v>
      </c>
      <c r="I91" s="14" t="s">
        <v>256</v>
      </c>
      <c r="J91" s="14"/>
      <c r="K91" s="13" t="str">
        <f>"152,5"</f>
        <v>152,5</v>
      </c>
      <c r="L91" s="15" t="str">
        <f>"86,1749"</f>
        <v>86,1749</v>
      </c>
      <c r="M91" s="13" t="s">
        <v>20</v>
      </c>
    </row>
    <row r="93" spans="1:12" ht="15">
      <c r="A93" s="173" t="s">
        <v>322</v>
      </c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</row>
    <row r="94" spans="1:13" ht="12.75">
      <c r="A94" s="7" t="s">
        <v>324</v>
      </c>
      <c r="B94" s="7" t="s">
        <v>325</v>
      </c>
      <c r="C94" s="7" t="s">
        <v>326</v>
      </c>
      <c r="D94" s="7" t="str">
        <f>"0,5323"</f>
        <v>0,5323</v>
      </c>
      <c r="E94" s="7" t="s">
        <v>15</v>
      </c>
      <c r="F94" s="7" t="s">
        <v>16</v>
      </c>
      <c r="G94" s="9" t="s">
        <v>256</v>
      </c>
      <c r="H94" s="9" t="s">
        <v>71</v>
      </c>
      <c r="I94" s="8" t="s">
        <v>306</v>
      </c>
      <c r="J94" s="8"/>
      <c r="K94" s="7" t="str">
        <f>"165,0"</f>
        <v>165,0</v>
      </c>
      <c r="L94" s="9" t="str">
        <f>"87,8295"</f>
        <v>87,8295</v>
      </c>
      <c r="M94" s="7" t="s">
        <v>20</v>
      </c>
    </row>
    <row r="96" spans="1:12" ht="15">
      <c r="A96" s="173" t="s">
        <v>327</v>
      </c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</row>
    <row r="97" spans="1:13" ht="12.75">
      <c r="A97" s="10" t="s">
        <v>328</v>
      </c>
      <c r="B97" s="10" t="s">
        <v>329</v>
      </c>
      <c r="C97" s="10" t="s">
        <v>330</v>
      </c>
      <c r="D97" s="10" t="str">
        <f>"0,5070"</f>
        <v>0,5070</v>
      </c>
      <c r="E97" s="10" t="s">
        <v>15</v>
      </c>
      <c r="F97" s="10" t="s">
        <v>16</v>
      </c>
      <c r="G97" s="12" t="s">
        <v>66</v>
      </c>
      <c r="H97" s="12" t="s">
        <v>76</v>
      </c>
      <c r="I97" s="11" t="s">
        <v>321</v>
      </c>
      <c r="J97" s="11"/>
      <c r="K97" s="10" t="str">
        <f>"150,0"</f>
        <v>150,0</v>
      </c>
      <c r="L97" s="12" t="str">
        <f>"76,0530"</f>
        <v>76,0530</v>
      </c>
      <c r="M97" s="10" t="s">
        <v>20</v>
      </c>
    </row>
    <row r="98" spans="1:13" ht="12.75">
      <c r="A98" s="13" t="s">
        <v>332</v>
      </c>
      <c r="B98" s="13" t="s">
        <v>333</v>
      </c>
      <c r="C98" s="13" t="s">
        <v>334</v>
      </c>
      <c r="D98" s="13" t="str">
        <f>"0,5052"</f>
        <v>0,5052</v>
      </c>
      <c r="E98" s="13" t="s">
        <v>15</v>
      </c>
      <c r="F98" s="13" t="s">
        <v>16</v>
      </c>
      <c r="G98" s="15" t="s">
        <v>335</v>
      </c>
      <c r="H98" s="15" t="s">
        <v>336</v>
      </c>
      <c r="I98" s="14" t="s">
        <v>337</v>
      </c>
      <c r="J98" s="14"/>
      <c r="K98" s="13" t="str">
        <f>"245,0"</f>
        <v>245,0</v>
      </c>
      <c r="L98" s="15" t="str">
        <f>"123,7618"</f>
        <v>123,7618</v>
      </c>
      <c r="M98" s="13" t="s">
        <v>20</v>
      </c>
    </row>
    <row r="100" spans="1:12" ht="15">
      <c r="A100" s="173" t="s">
        <v>338</v>
      </c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</row>
    <row r="101" spans="1:13" ht="12.75">
      <c r="A101" s="7" t="s">
        <v>340</v>
      </c>
      <c r="B101" s="7" t="s">
        <v>341</v>
      </c>
      <c r="C101" s="7" t="s">
        <v>342</v>
      </c>
      <c r="D101" s="7" t="str">
        <f>"0,5024"</f>
        <v>0,5024</v>
      </c>
      <c r="E101" s="7" t="s">
        <v>15</v>
      </c>
      <c r="F101" s="7" t="s">
        <v>16</v>
      </c>
      <c r="G101" s="9" t="s">
        <v>343</v>
      </c>
      <c r="H101" s="9" t="s">
        <v>344</v>
      </c>
      <c r="I101" s="9" t="s">
        <v>345</v>
      </c>
      <c r="J101" s="8"/>
      <c r="K101" s="7" t="str">
        <f>"225,0"</f>
        <v>225,0</v>
      </c>
      <c r="L101" s="9" t="str">
        <f>"113,0400"</f>
        <v>113,0400</v>
      </c>
      <c r="M101" s="7" t="s">
        <v>20</v>
      </c>
    </row>
    <row r="103" spans="5:6" ht="15">
      <c r="E103" s="19" t="s">
        <v>84</v>
      </c>
      <c r="F103" s="4" t="s">
        <v>613</v>
      </c>
    </row>
    <row r="104" spans="5:6" ht="15">
      <c r="E104" s="19" t="s">
        <v>85</v>
      </c>
      <c r="F104" s="4" t="s">
        <v>614</v>
      </c>
    </row>
    <row r="105" spans="5:6" ht="15">
      <c r="E105" s="19" t="s">
        <v>86</v>
      </c>
      <c r="F105" s="4" t="s">
        <v>613</v>
      </c>
    </row>
    <row r="106" spans="5:6" ht="15">
      <c r="E106" s="19" t="s">
        <v>87</v>
      </c>
      <c r="F106" s="4" t="s">
        <v>323</v>
      </c>
    </row>
    <row r="107" spans="5:6" ht="15">
      <c r="E107" s="19" t="s">
        <v>87</v>
      </c>
      <c r="F107" s="4" t="s">
        <v>615</v>
      </c>
    </row>
    <row r="108" spans="5:6" ht="15">
      <c r="E108" s="19" t="s">
        <v>87</v>
      </c>
      <c r="F108" s="4" t="s">
        <v>339</v>
      </c>
    </row>
    <row r="109" ht="15">
      <c r="E109" s="19"/>
    </row>
    <row r="111" spans="1:2" ht="18">
      <c r="A111" s="20" t="s">
        <v>88</v>
      </c>
      <c r="B111" s="20"/>
    </row>
    <row r="112" spans="1:2" ht="15">
      <c r="A112" s="21" t="s">
        <v>89</v>
      </c>
      <c r="B112" s="21"/>
    </row>
    <row r="114" spans="1:2" ht="14.25">
      <c r="A114" s="23"/>
      <c r="B114" s="24" t="s">
        <v>90</v>
      </c>
    </row>
    <row r="115" spans="1:5" ht="15">
      <c r="A115" s="25" t="s">
        <v>91</v>
      </c>
      <c r="B115" s="25" t="s">
        <v>92</v>
      </c>
      <c r="C115" s="25" t="s">
        <v>93</v>
      </c>
      <c r="D115" s="25" t="s">
        <v>94</v>
      </c>
      <c r="E115" s="25" t="s">
        <v>95</v>
      </c>
    </row>
    <row r="116" spans="1:5" ht="12.75">
      <c r="A116" s="22" t="s">
        <v>125</v>
      </c>
      <c r="B116" s="4" t="s">
        <v>90</v>
      </c>
      <c r="C116" s="4" t="s">
        <v>96</v>
      </c>
      <c r="D116" s="4" t="s">
        <v>128</v>
      </c>
      <c r="E116" s="26" t="s">
        <v>346</v>
      </c>
    </row>
    <row r="117" spans="1:5" ht="12.75">
      <c r="A117" s="22" t="s">
        <v>114</v>
      </c>
      <c r="B117" s="4" t="s">
        <v>90</v>
      </c>
      <c r="C117" s="4" t="s">
        <v>96</v>
      </c>
      <c r="D117" s="4" t="s">
        <v>121</v>
      </c>
      <c r="E117" s="26" t="s">
        <v>618</v>
      </c>
    </row>
    <row r="118" spans="1:5" ht="12.75">
      <c r="A118" s="153" t="s">
        <v>728</v>
      </c>
      <c r="B118" s="4" t="s">
        <v>90</v>
      </c>
      <c r="C118" s="154" t="s">
        <v>165</v>
      </c>
      <c r="D118" s="154" t="s">
        <v>347</v>
      </c>
      <c r="E118" s="26" t="s">
        <v>729</v>
      </c>
    </row>
    <row r="121" spans="1:2" ht="15">
      <c r="A121" s="21" t="s">
        <v>98</v>
      </c>
      <c r="B121" s="21"/>
    </row>
    <row r="122" spans="1:2" ht="14.25">
      <c r="A122" s="23"/>
      <c r="B122" s="24" t="s">
        <v>100</v>
      </c>
    </row>
    <row r="123" spans="1:5" ht="15">
      <c r="A123" s="25" t="s">
        <v>91</v>
      </c>
      <c r="B123" s="25" t="s">
        <v>92</v>
      </c>
      <c r="C123" s="25" t="s">
        <v>93</v>
      </c>
      <c r="D123" s="25" t="s">
        <v>94</v>
      </c>
      <c r="E123" s="25" t="s">
        <v>95</v>
      </c>
    </row>
    <row r="124" spans="1:5" ht="12.75">
      <c r="A124" s="22" t="s">
        <v>186</v>
      </c>
      <c r="B124" s="4" t="s">
        <v>100</v>
      </c>
      <c r="C124" s="4" t="s">
        <v>347</v>
      </c>
      <c r="D124" s="4" t="s">
        <v>66</v>
      </c>
      <c r="E124" s="26" t="s">
        <v>348</v>
      </c>
    </row>
    <row r="125" spans="1:5" ht="12.75">
      <c r="A125" s="22" t="s">
        <v>213</v>
      </c>
      <c r="B125" s="4" t="s">
        <v>100</v>
      </c>
      <c r="C125" s="4" t="s">
        <v>99</v>
      </c>
      <c r="D125" s="4" t="s">
        <v>60</v>
      </c>
      <c r="E125" s="26" t="s">
        <v>349</v>
      </c>
    </row>
    <row r="126" spans="1:5" ht="12.75">
      <c r="A126" s="22" t="s">
        <v>218</v>
      </c>
      <c r="B126" s="4" t="s">
        <v>100</v>
      </c>
      <c r="C126" s="4" t="s">
        <v>99</v>
      </c>
      <c r="D126" s="4" t="s">
        <v>66</v>
      </c>
      <c r="E126" s="26" t="s">
        <v>350</v>
      </c>
    </row>
    <row r="127" spans="1:5" ht="12.75">
      <c r="A127" s="22"/>
      <c r="E127" s="26"/>
    </row>
    <row r="128" spans="1:2" ht="14.25">
      <c r="A128" s="23"/>
      <c r="B128" s="24" t="s">
        <v>90</v>
      </c>
    </row>
    <row r="129" spans="1:5" ht="15">
      <c r="A129" s="25" t="s">
        <v>91</v>
      </c>
      <c r="B129" s="25" t="s">
        <v>92</v>
      </c>
      <c r="C129" s="25" t="s">
        <v>93</v>
      </c>
      <c r="D129" s="25" t="s">
        <v>94</v>
      </c>
      <c r="E129" s="25" t="s">
        <v>95</v>
      </c>
    </row>
    <row r="130" spans="1:5" ht="12.75">
      <c r="A130" s="22" t="s">
        <v>331</v>
      </c>
      <c r="B130" s="4" t="s">
        <v>90</v>
      </c>
      <c r="C130" s="4" t="s">
        <v>351</v>
      </c>
      <c r="D130" s="4" t="s">
        <v>336</v>
      </c>
      <c r="E130" s="26" t="s">
        <v>352</v>
      </c>
    </row>
    <row r="131" spans="1:5" ht="12.75">
      <c r="A131" s="22" t="s">
        <v>339</v>
      </c>
      <c r="B131" s="4" t="s">
        <v>90</v>
      </c>
      <c r="C131" s="4" t="s">
        <v>353</v>
      </c>
      <c r="D131" s="4" t="s">
        <v>345</v>
      </c>
      <c r="E131" s="26" t="s">
        <v>354</v>
      </c>
    </row>
    <row r="132" spans="1:5" ht="12.75">
      <c r="A132" s="22" t="s">
        <v>222</v>
      </c>
      <c r="B132" s="4" t="s">
        <v>90</v>
      </c>
      <c r="C132" s="4" t="s">
        <v>99</v>
      </c>
      <c r="D132" s="4" t="s">
        <v>228</v>
      </c>
      <c r="E132" s="26" t="s">
        <v>355</v>
      </c>
    </row>
    <row r="134" spans="1:2" ht="14.25">
      <c r="A134" s="23"/>
      <c r="B134" s="24" t="s">
        <v>104</v>
      </c>
    </row>
    <row r="135" spans="1:5" ht="15">
      <c r="A135" s="25" t="s">
        <v>91</v>
      </c>
      <c r="B135" s="25" t="s">
        <v>92</v>
      </c>
      <c r="C135" s="25" t="s">
        <v>93</v>
      </c>
      <c r="D135" s="25" t="s">
        <v>94</v>
      </c>
      <c r="E135" s="25" t="s">
        <v>95</v>
      </c>
    </row>
    <row r="136" spans="1:5" ht="12.75">
      <c r="A136" s="22" t="s">
        <v>284</v>
      </c>
      <c r="B136" s="4" t="s">
        <v>105</v>
      </c>
      <c r="C136" s="4" t="s">
        <v>103</v>
      </c>
      <c r="D136" s="4" t="s">
        <v>256</v>
      </c>
      <c r="E136" s="26" t="s">
        <v>357</v>
      </c>
    </row>
  </sheetData>
  <sheetProtection/>
  <mergeCells count="29">
    <mergeCell ref="A1:M2"/>
    <mergeCell ref="A3:A4"/>
    <mergeCell ref="B3:B4"/>
    <mergeCell ref="C3:C4"/>
    <mergeCell ref="D3:D4"/>
    <mergeCell ref="E3:E4"/>
    <mergeCell ref="F3:F4"/>
    <mergeCell ref="G3:J3"/>
    <mergeCell ref="A33:L33"/>
    <mergeCell ref="K3:K4"/>
    <mergeCell ref="L3:L4"/>
    <mergeCell ref="M3:M4"/>
    <mergeCell ref="A5:L5"/>
    <mergeCell ref="A10:L10"/>
    <mergeCell ref="A13:L13"/>
    <mergeCell ref="A16:L16"/>
    <mergeCell ref="A21:L21"/>
    <mergeCell ref="A24:L24"/>
    <mergeCell ref="A27:L27"/>
    <mergeCell ref="A30:L30"/>
    <mergeCell ref="A93:L93"/>
    <mergeCell ref="A96:L96"/>
    <mergeCell ref="A100:L100"/>
    <mergeCell ref="A39:L39"/>
    <mergeCell ref="A42:L42"/>
    <mergeCell ref="A51:L51"/>
    <mergeCell ref="A62:L62"/>
    <mergeCell ref="A79:L79"/>
    <mergeCell ref="A88:L8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F12" sqref="E8:F12"/>
    </sheetView>
  </sheetViews>
  <sheetFormatPr defaultColWidth="9.1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8.3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160" t="s">
        <v>107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spans="1:13" s="2" customFormat="1" ht="61.5" customHeight="1" thickBot="1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5"/>
    </row>
    <row r="3" spans="1:13" s="1" customFormat="1" ht="12.75" customHeight="1">
      <c r="A3" s="166" t="s">
        <v>0</v>
      </c>
      <c r="B3" s="168" t="s">
        <v>5</v>
      </c>
      <c r="C3" s="168" t="s">
        <v>6</v>
      </c>
      <c r="D3" s="170" t="s">
        <v>9</v>
      </c>
      <c r="E3" s="170" t="s">
        <v>3</v>
      </c>
      <c r="F3" s="170" t="s">
        <v>7</v>
      </c>
      <c r="G3" s="170" t="s">
        <v>10</v>
      </c>
      <c r="H3" s="170"/>
      <c r="I3" s="170"/>
      <c r="J3" s="170"/>
      <c r="K3" s="170" t="s">
        <v>106</v>
      </c>
      <c r="L3" s="170" t="s">
        <v>2</v>
      </c>
      <c r="M3" s="158" t="s">
        <v>1</v>
      </c>
    </row>
    <row r="4" spans="1:13" s="1" customFormat="1" ht="21" customHeight="1" thickBot="1">
      <c r="A4" s="167"/>
      <c r="B4" s="169"/>
      <c r="C4" s="169"/>
      <c r="D4" s="169"/>
      <c r="E4" s="169"/>
      <c r="F4" s="169"/>
      <c r="G4" s="5">
        <v>1</v>
      </c>
      <c r="H4" s="5">
        <v>2</v>
      </c>
      <c r="I4" s="5">
        <v>3</v>
      </c>
      <c r="J4" s="5" t="s">
        <v>4</v>
      </c>
      <c r="K4" s="169"/>
      <c r="L4" s="169"/>
      <c r="M4" s="159"/>
    </row>
    <row r="5" spans="1:12" ht="15">
      <c r="A5" s="171" t="s">
        <v>51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</row>
    <row r="6" spans="1:13" ht="12.75">
      <c r="A6" s="7" t="s">
        <v>108</v>
      </c>
      <c r="B6" s="7" t="s">
        <v>109</v>
      </c>
      <c r="C6" s="7" t="s">
        <v>110</v>
      </c>
      <c r="D6" s="7" t="str">
        <f>"0,5887"</f>
        <v>0,5887</v>
      </c>
      <c r="E6" s="7" t="s">
        <v>15</v>
      </c>
      <c r="F6" s="7" t="s">
        <v>111</v>
      </c>
      <c r="G6" s="9" t="s">
        <v>76</v>
      </c>
      <c r="H6" s="8" t="s">
        <v>112</v>
      </c>
      <c r="I6" s="9" t="s">
        <v>112</v>
      </c>
      <c r="J6" s="8"/>
      <c r="K6" s="7" t="str">
        <f>"157,5"</f>
        <v>157,5</v>
      </c>
      <c r="L6" s="9" t="str">
        <f>"92,7202"</f>
        <v>92,7202</v>
      </c>
      <c r="M6" s="7" t="s">
        <v>20</v>
      </c>
    </row>
    <row r="8" spans="5:6" ht="15">
      <c r="E8" s="19" t="s">
        <v>84</v>
      </c>
      <c r="F8" s="4" t="s">
        <v>613</v>
      </c>
    </row>
    <row r="9" spans="5:6" ht="15">
      <c r="E9" s="19" t="s">
        <v>85</v>
      </c>
      <c r="F9" s="4" t="s">
        <v>614</v>
      </c>
    </row>
    <row r="10" spans="5:6" ht="15">
      <c r="E10" s="19" t="s">
        <v>86</v>
      </c>
      <c r="F10" s="4" t="s">
        <v>613</v>
      </c>
    </row>
    <row r="11" spans="5:6" ht="15">
      <c r="E11" s="19" t="s">
        <v>87</v>
      </c>
      <c r="F11" s="4" t="s">
        <v>323</v>
      </c>
    </row>
    <row r="12" spans="5:6" ht="15">
      <c r="E12" s="19" t="s">
        <v>87</v>
      </c>
      <c r="F12" s="4" t="s">
        <v>615</v>
      </c>
    </row>
    <row r="13" ht="15">
      <c r="E13" s="19"/>
    </row>
    <row r="14" ht="15">
      <c r="E14" s="19"/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1">
      <selection activeCell="A1" sqref="A1:M2"/>
    </sheetView>
  </sheetViews>
  <sheetFormatPr defaultColWidth="9.1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0.8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1.75390625" style="4" customWidth="1"/>
    <col min="14" max="16384" width="9.125" style="3" customWidth="1"/>
  </cols>
  <sheetData>
    <row r="1" spans="1:13" s="2" customFormat="1" ht="28.5" customHeight="1">
      <c r="A1" s="160" t="s">
        <v>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spans="1:13" s="2" customFormat="1" ht="89.25" customHeight="1" thickBot="1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5"/>
    </row>
    <row r="3" spans="1:13" s="1" customFormat="1" ht="12.75" customHeight="1">
      <c r="A3" s="166" t="s">
        <v>0</v>
      </c>
      <c r="B3" s="168" t="s">
        <v>5</v>
      </c>
      <c r="C3" s="168" t="s">
        <v>6</v>
      </c>
      <c r="D3" s="170" t="s">
        <v>9</v>
      </c>
      <c r="E3" s="170" t="s">
        <v>3</v>
      </c>
      <c r="F3" s="170" t="s">
        <v>7</v>
      </c>
      <c r="G3" s="170" t="s">
        <v>10</v>
      </c>
      <c r="H3" s="170"/>
      <c r="I3" s="170"/>
      <c r="J3" s="170"/>
      <c r="K3" s="170" t="s">
        <v>106</v>
      </c>
      <c r="L3" s="170" t="s">
        <v>2</v>
      </c>
      <c r="M3" s="158" t="s">
        <v>1</v>
      </c>
    </row>
    <row r="4" spans="1:13" s="1" customFormat="1" ht="21" customHeight="1" thickBot="1">
      <c r="A4" s="167"/>
      <c r="B4" s="169"/>
      <c r="C4" s="169"/>
      <c r="D4" s="169"/>
      <c r="E4" s="169"/>
      <c r="F4" s="169"/>
      <c r="G4" s="5">
        <v>1</v>
      </c>
      <c r="H4" s="5">
        <v>2</v>
      </c>
      <c r="I4" s="5">
        <v>3</v>
      </c>
      <c r="J4" s="5" t="s">
        <v>4</v>
      </c>
      <c r="K4" s="169"/>
      <c r="L4" s="169"/>
      <c r="M4" s="159"/>
    </row>
    <row r="5" spans="1:12" ht="15">
      <c r="A5" s="171" t="s">
        <v>11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</row>
    <row r="6" spans="1:13" ht="12.75">
      <c r="A6" s="7" t="s">
        <v>12</v>
      </c>
      <c r="B6" s="7" t="s">
        <v>13</v>
      </c>
      <c r="C6" s="7" t="s">
        <v>14</v>
      </c>
      <c r="D6" s="7" t="str">
        <f>"1,0361"</f>
        <v>1,0361</v>
      </c>
      <c r="E6" s="7" t="s">
        <v>15</v>
      </c>
      <c r="F6" s="7" t="s">
        <v>16</v>
      </c>
      <c r="G6" s="9" t="s">
        <v>17</v>
      </c>
      <c r="H6" s="9" t="s">
        <v>18</v>
      </c>
      <c r="I6" s="8" t="s">
        <v>19</v>
      </c>
      <c r="J6" s="8"/>
      <c r="K6" s="7" t="str">
        <f>"42,5"</f>
        <v>42,5</v>
      </c>
      <c r="L6" s="9" t="str">
        <f>"44,0364"</f>
        <v>44,0364</v>
      </c>
      <c r="M6" s="7" t="s">
        <v>20</v>
      </c>
    </row>
    <row r="8" spans="1:12" ht="15">
      <c r="A8" s="173" t="s">
        <v>21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</row>
    <row r="9" spans="1:13" ht="12.75">
      <c r="A9" s="7" t="s">
        <v>22</v>
      </c>
      <c r="B9" s="7" t="s">
        <v>23</v>
      </c>
      <c r="C9" s="7" t="s">
        <v>24</v>
      </c>
      <c r="D9" s="7" t="str">
        <f>"0,9801"</f>
        <v>0,9801</v>
      </c>
      <c r="E9" s="7" t="s">
        <v>15</v>
      </c>
      <c r="F9" s="7" t="s">
        <v>16</v>
      </c>
      <c r="G9" s="9" t="s">
        <v>18</v>
      </c>
      <c r="H9" s="8" t="s">
        <v>25</v>
      </c>
      <c r="I9" s="8" t="s">
        <v>25</v>
      </c>
      <c r="J9" s="8"/>
      <c r="K9" s="7" t="str">
        <f>"42,5"</f>
        <v>42,5</v>
      </c>
      <c r="L9" s="9" t="str">
        <f>"41,6542"</f>
        <v>41,6542</v>
      </c>
      <c r="M9" s="7" t="s">
        <v>20</v>
      </c>
    </row>
    <row r="11" spans="1:12" ht="15">
      <c r="A11" s="173" t="s">
        <v>26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</row>
    <row r="12" spans="1:13" ht="12.75">
      <c r="A12" s="10" t="s">
        <v>27</v>
      </c>
      <c r="B12" s="10" t="s">
        <v>28</v>
      </c>
      <c r="C12" s="10" t="s">
        <v>29</v>
      </c>
      <c r="D12" s="10" t="str">
        <f>"0,9235"</f>
        <v>0,9235</v>
      </c>
      <c r="E12" s="10" t="s">
        <v>15</v>
      </c>
      <c r="F12" s="10" t="s">
        <v>16</v>
      </c>
      <c r="G12" s="12" t="s">
        <v>30</v>
      </c>
      <c r="H12" s="12" t="s">
        <v>18</v>
      </c>
      <c r="I12" s="11" t="s">
        <v>19</v>
      </c>
      <c r="J12" s="11"/>
      <c r="K12" s="10" t="str">
        <f>"42,5"</f>
        <v>42,5</v>
      </c>
      <c r="L12" s="12" t="str">
        <f>"39,2488"</f>
        <v>39,2488</v>
      </c>
      <c r="M12" s="10" t="s">
        <v>20</v>
      </c>
    </row>
    <row r="13" spans="1:13" ht="12.75">
      <c r="A13" s="13" t="s">
        <v>31</v>
      </c>
      <c r="B13" s="13" t="s">
        <v>32</v>
      </c>
      <c r="C13" s="13" t="s">
        <v>33</v>
      </c>
      <c r="D13" s="13" t="str">
        <f>"0,9147"</f>
        <v>0,9147</v>
      </c>
      <c r="E13" s="13" t="s">
        <v>15</v>
      </c>
      <c r="F13" s="13" t="s">
        <v>16</v>
      </c>
      <c r="G13" s="15" t="s">
        <v>30</v>
      </c>
      <c r="H13" s="15" t="s">
        <v>17</v>
      </c>
      <c r="I13" s="14" t="s">
        <v>18</v>
      </c>
      <c r="J13" s="14"/>
      <c r="K13" s="13" t="str">
        <f>"40,0"</f>
        <v>40,0</v>
      </c>
      <c r="L13" s="15" t="str">
        <f>"36,5860"</f>
        <v>36,5860</v>
      </c>
      <c r="M13" s="13" t="s">
        <v>20</v>
      </c>
    </row>
    <row r="15" spans="1:12" ht="15">
      <c r="A15" s="173" t="s">
        <v>34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</row>
    <row r="16" spans="1:13" ht="12.75">
      <c r="A16" s="7" t="s">
        <v>35</v>
      </c>
      <c r="B16" s="7" t="s">
        <v>36</v>
      </c>
      <c r="C16" s="7" t="s">
        <v>37</v>
      </c>
      <c r="D16" s="7" t="str">
        <f>"0,8731"</f>
        <v>0,8731</v>
      </c>
      <c r="E16" s="7" t="s">
        <v>15</v>
      </c>
      <c r="F16" s="7" t="s">
        <v>16</v>
      </c>
      <c r="G16" s="9" t="s">
        <v>30</v>
      </c>
      <c r="H16" s="9" t="s">
        <v>17</v>
      </c>
      <c r="I16" s="9" t="s">
        <v>18</v>
      </c>
      <c r="J16" s="8"/>
      <c r="K16" s="7" t="str">
        <f>"42,5"</f>
        <v>42,5</v>
      </c>
      <c r="L16" s="9" t="str">
        <f>"37,1089"</f>
        <v>37,1089</v>
      </c>
      <c r="M16" s="7" t="s">
        <v>20</v>
      </c>
    </row>
    <row r="18" spans="1:12" ht="15">
      <c r="A18" s="173" t="s">
        <v>38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</row>
    <row r="19" spans="1:13" ht="12.75">
      <c r="A19" s="10" t="s">
        <v>39</v>
      </c>
      <c r="B19" s="10" t="s">
        <v>40</v>
      </c>
      <c r="C19" s="10" t="s">
        <v>41</v>
      </c>
      <c r="D19" s="10" t="str">
        <f>"0,6246"</f>
        <v>0,6246</v>
      </c>
      <c r="E19" s="10" t="s">
        <v>15</v>
      </c>
      <c r="F19" s="10" t="s">
        <v>16</v>
      </c>
      <c r="G19" s="12" t="s">
        <v>42</v>
      </c>
      <c r="H19" s="12" t="s">
        <v>43</v>
      </c>
      <c r="I19" s="11" t="s">
        <v>44</v>
      </c>
      <c r="J19" s="11"/>
      <c r="K19" s="10" t="str">
        <f>"120,0"</f>
        <v>120,0</v>
      </c>
      <c r="L19" s="12" t="str">
        <f>"77,9501"</f>
        <v>77,9501</v>
      </c>
      <c r="M19" s="10" t="s">
        <v>20</v>
      </c>
    </row>
    <row r="20" spans="1:13" ht="12.75">
      <c r="A20" s="16" t="s">
        <v>45</v>
      </c>
      <c r="B20" s="16" t="s">
        <v>46</v>
      </c>
      <c r="C20" s="16" t="s">
        <v>47</v>
      </c>
      <c r="D20" s="16" t="str">
        <f>"0,6230"</f>
        <v>0,6230</v>
      </c>
      <c r="E20" s="16" t="s">
        <v>15</v>
      </c>
      <c r="F20" s="16" t="s">
        <v>16</v>
      </c>
      <c r="G20" s="18" t="s">
        <v>43</v>
      </c>
      <c r="H20" s="17" t="s">
        <v>44</v>
      </c>
      <c r="I20" s="17" t="s">
        <v>44</v>
      </c>
      <c r="J20" s="17"/>
      <c r="K20" s="16" t="str">
        <f>"120,0"</f>
        <v>120,0</v>
      </c>
      <c r="L20" s="18" t="str">
        <f>"74,7600"</f>
        <v>74,7600</v>
      </c>
      <c r="M20" s="16" t="s">
        <v>20</v>
      </c>
    </row>
    <row r="21" spans="1:13" ht="12.75">
      <c r="A21" s="13" t="s">
        <v>48</v>
      </c>
      <c r="B21" s="13" t="s">
        <v>49</v>
      </c>
      <c r="C21" s="13" t="s">
        <v>50</v>
      </c>
      <c r="D21" s="13" t="str">
        <f>"0,6259"</f>
        <v>0,6259</v>
      </c>
      <c r="E21" s="13" t="s">
        <v>15</v>
      </c>
      <c r="F21" s="13" t="s">
        <v>16</v>
      </c>
      <c r="G21" s="15" t="s">
        <v>42</v>
      </c>
      <c r="H21" s="14" t="s">
        <v>44</v>
      </c>
      <c r="I21" s="14" t="s">
        <v>44</v>
      </c>
      <c r="J21" s="14"/>
      <c r="K21" s="13" t="str">
        <f>"115,0"</f>
        <v>115,0</v>
      </c>
      <c r="L21" s="15" t="str">
        <f>"73,2800"</f>
        <v>73,2800</v>
      </c>
      <c r="M21" s="13" t="s">
        <v>20</v>
      </c>
    </row>
    <row r="23" spans="1:12" ht="15">
      <c r="A23" s="173" t="s">
        <v>51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</row>
    <row r="24" spans="1:13" ht="12.75">
      <c r="A24" s="10" t="s">
        <v>52</v>
      </c>
      <c r="B24" s="10" t="s">
        <v>53</v>
      </c>
      <c r="C24" s="10" t="s">
        <v>54</v>
      </c>
      <c r="D24" s="10" t="str">
        <f>"0,5869"</f>
        <v>0,5869</v>
      </c>
      <c r="E24" s="10" t="s">
        <v>15</v>
      </c>
      <c r="F24" s="10" t="s">
        <v>16</v>
      </c>
      <c r="G24" s="12" t="s">
        <v>55</v>
      </c>
      <c r="H24" s="12" t="s">
        <v>56</v>
      </c>
      <c r="I24" s="11"/>
      <c r="J24" s="11"/>
      <c r="K24" s="10" t="str">
        <f>"142,5"</f>
        <v>142,5</v>
      </c>
      <c r="L24" s="12" t="str">
        <f>"83,6332"</f>
        <v>83,6332</v>
      </c>
      <c r="M24" s="10" t="s">
        <v>20</v>
      </c>
    </row>
    <row r="25" spans="1:13" ht="12.75">
      <c r="A25" s="13" t="s">
        <v>57</v>
      </c>
      <c r="B25" s="13" t="s">
        <v>58</v>
      </c>
      <c r="C25" s="13" t="s">
        <v>59</v>
      </c>
      <c r="D25" s="13" t="str">
        <f>"0,5901"</f>
        <v>0,5901</v>
      </c>
      <c r="E25" s="13" t="s">
        <v>15</v>
      </c>
      <c r="F25" s="13" t="s">
        <v>16</v>
      </c>
      <c r="G25" s="15" t="s">
        <v>44</v>
      </c>
      <c r="H25" s="14" t="s">
        <v>60</v>
      </c>
      <c r="I25" s="14" t="s">
        <v>61</v>
      </c>
      <c r="J25" s="14"/>
      <c r="K25" s="13" t="str">
        <f>"125,0"</f>
        <v>125,0</v>
      </c>
      <c r="L25" s="15" t="str">
        <f>"133,5101"</f>
        <v>133,5101</v>
      </c>
      <c r="M25" s="13" t="s">
        <v>20</v>
      </c>
    </row>
    <row r="27" spans="1:12" ht="15">
      <c r="A27" s="173" t="s">
        <v>62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</row>
    <row r="28" spans="1:13" ht="12.75">
      <c r="A28" s="10" t="s">
        <v>63</v>
      </c>
      <c r="B28" s="10" t="s">
        <v>64</v>
      </c>
      <c r="C28" s="10" t="s">
        <v>65</v>
      </c>
      <c r="D28" s="10" t="str">
        <f>"0,5678"</f>
        <v>0,5678</v>
      </c>
      <c r="E28" s="10" t="s">
        <v>15</v>
      </c>
      <c r="F28" s="10" t="s">
        <v>16</v>
      </c>
      <c r="G28" s="12" t="s">
        <v>44</v>
      </c>
      <c r="H28" s="12" t="s">
        <v>61</v>
      </c>
      <c r="I28" s="11" t="s">
        <v>66</v>
      </c>
      <c r="J28" s="11"/>
      <c r="K28" s="10" t="str">
        <f>"132,5"</f>
        <v>132,5</v>
      </c>
      <c r="L28" s="12" t="str">
        <f>"76,7382"</f>
        <v>76,7382</v>
      </c>
      <c r="M28" s="10" t="s">
        <v>20</v>
      </c>
    </row>
    <row r="29" spans="1:13" ht="12.75">
      <c r="A29" s="16" t="s">
        <v>67</v>
      </c>
      <c r="B29" s="16" t="s">
        <v>68</v>
      </c>
      <c r="C29" s="16" t="s">
        <v>69</v>
      </c>
      <c r="D29" s="16" t="str">
        <f>"0,5573"</f>
        <v>0,5573</v>
      </c>
      <c r="E29" s="16" t="s">
        <v>15</v>
      </c>
      <c r="F29" s="16" t="s">
        <v>16</v>
      </c>
      <c r="G29" s="18" t="s">
        <v>70</v>
      </c>
      <c r="H29" s="18" t="s">
        <v>71</v>
      </c>
      <c r="I29" s="17"/>
      <c r="J29" s="17"/>
      <c r="K29" s="16" t="str">
        <f>"165,0"</f>
        <v>165,0</v>
      </c>
      <c r="L29" s="18" t="str">
        <f>"92,7821"</f>
        <v>92,7821</v>
      </c>
      <c r="M29" s="16" t="s">
        <v>20</v>
      </c>
    </row>
    <row r="30" spans="1:13" ht="12.75">
      <c r="A30" s="13" t="s">
        <v>72</v>
      </c>
      <c r="B30" s="13" t="s">
        <v>73</v>
      </c>
      <c r="C30" s="13" t="s">
        <v>74</v>
      </c>
      <c r="D30" s="13" t="str">
        <f>"0,5608"</f>
        <v>0,5608</v>
      </c>
      <c r="E30" s="13" t="s">
        <v>15</v>
      </c>
      <c r="F30" s="13" t="s">
        <v>16</v>
      </c>
      <c r="G30" s="15" t="s">
        <v>66</v>
      </c>
      <c r="H30" s="15" t="s">
        <v>75</v>
      </c>
      <c r="I30" s="15" t="s">
        <v>76</v>
      </c>
      <c r="J30" s="14"/>
      <c r="K30" s="13" t="str">
        <f>"150,0"</f>
        <v>150,0</v>
      </c>
      <c r="L30" s="15" t="str">
        <f>"84,8771"</f>
        <v>84,8771</v>
      </c>
      <c r="M30" s="13" t="s">
        <v>20</v>
      </c>
    </row>
    <row r="32" spans="1:12" ht="15">
      <c r="A32" s="173" t="s">
        <v>77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</row>
    <row r="33" spans="1:13" ht="12.75">
      <c r="A33" s="7" t="s">
        <v>78</v>
      </c>
      <c r="B33" s="7" t="s">
        <v>79</v>
      </c>
      <c r="C33" s="7" t="s">
        <v>80</v>
      </c>
      <c r="D33" s="7" t="str">
        <f>"0,5427"</f>
        <v>0,5427</v>
      </c>
      <c r="E33" s="7" t="s">
        <v>15</v>
      </c>
      <c r="F33" s="7" t="s">
        <v>16</v>
      </c>
      <c r="G33" s="9" t="s">
        <v>81</v>
      </c>
      <c r="H33" s="9" t="s">
        <v>82</v>
      </c>
      <c r="I33" s="8" t="s">
        <v>83</v>
      </c>
      <c r="J33" s="8"/>
      <c r="K33" s="7" t="str">
        <f>"85,0"</f>
        <v>85,0</v>
      </c>
      <c r="L33" s="9" t="str">
        <f>"47,9747"</f>
        <v>47,9747</v>
      </c>
      <c r="M33" s="7" t="s">
        <v>20</v>
      </c>
    </row>
    <row r="35" spans="5:6" ht="15">
      <c r="E35" s="19" t="s">
        <v>84</v>
      </c>
      <c r="F35" s="4" t="s">
        <v>613</v>
      </c>
    </row>
    <row r="36" spans="5:6" ht="15">
      <c r="E36" s="19" t="s">
        <v>85</v>
      </c>
      <c r="F36" s="4" t="s">
        <v>614</v>
      </c>
    </row>
    <row r="37" spans="5:6" ht="15">
      <c r="E37" s="19" t="s">
        <v>86</v>
      </c>
      <c r="F37" s="4" t="s">
        <v>613</v>
      </c>
    </row>
    <row r="38" spans="5:6" ht="15">
      <c r="E38" s="19" t="s">
        <v>87</v>
      </c>
      <c r="F38" s="4" t="s">
        <v>323</v>
      </c>
    </row>
    <row r="39" spans="5:6" ht="15">
      <c r="E39" s="19" t="s">
        <v>87</v>
      </c>
      <c r="F39" s="4" t="s">
        <v>615</v>
      </c>
    </row>
    <row r="40" ht="15">
      <c r="E40" s="19"/>
    </row>
    <row r="41" ht="15">
      <c r="E41" s="19"/>
    </row>
  </sheetData>
  <sheetProtection/>
  <mergeCells count="19">
    <mergeCell ref="D3:D4"/>
    <mergeCell ref="K3:K4"/>
    <mergeCell ref="L3:L4"/>
    <mergeCell ref="A1:M2"/>
    <mergeCell ref="G3:J3"/>
    <mergeCell ref="A3:A4"/>
    <mergeCell ref="B3:B4"/>
    <mergeCell ref="C3:C4"/>
    <mergeCell ref="M3:M4"/>
    <mergeCell ref="F3:F4"/>
    <mergeCell ref="E3:E4"/>
    <mergeCell ref="A23:L23"/>
    <mergeCell ref="A27:L27"/>
    <mergeCell ref="A32:L32"/>
    <mergeCell ref="A5:L5"/>
    <mergeCell ref="A8:L8"/>
    <mergeCell ref="A11:L11"/>
    <mergeCell ref="A15:L15"/>
    <mergeCell ref="A18:L18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7">
      <selection activeCell="C85" sqref="C85"/>
    </sheetView>
  </sheetViews>
  <sheetFormatPr defaultColWidth="9.00390625" defaultRowHeight="12.75"/>
  <cols>
    <col min="1" max="1" width="21.75390625" style="0" customWidth="1"/>
    <col min="2" max="2" width="30.875" style="0" customWidth="1"/>
    <col min="3" max="3" width="12.625" style="0" customWidth="1"/>
    <col min="5" max="5" width="23.625" style="0" customWidth="1"/>
    <col min="6" max="6" width="14.375" style="0" customWidth="1"/>
  </cols>
  <sheetData>
    <row r="1" spans="1:10" ht="12.75" customHeight="1">
      <c r="A1" s="160" t="s">
        <v>722</v>
      </c>
      <c r="B1" s="189"/>
      <c r="C1" s="189"/>
      <c r="D1" s="189"/>
      <c r="E1" s="189"/>
      <c r="F1" s="189"/>
      <c r="G1" s="189"/>
      <c r="H1" s="189"/>
      <c r="I1" s="189"/>
      <c r="J1" s="190"/>
    </row>
    <row r="2" spans="1:10" ht="107.25" customHeight="1" thickBot="1">
      <c r="A2" s="191"/>
      <c r="B2" s="192"/>
      <c r="C2" s="192"/>
      <c r="D2" s="192"/>
      <c r="E2" s="192"/>
      <c r="F2" s="192"/>
      <c r="G2" s="192"/>
      <c r="H2" s="192"/>
      <c r="I2" s="192"/>
      <c r="J2" s="193"/>
    </row>
    <row r="3" spans="1:10" ht="21" customHeight="1">
      <c r="A3" s="180" t="s">
        <v>630</v>
      </c>
      <c r="B3" s="181"/>
      <c r="C3" s="181"/>
      <c r="D3" s="181"/>
      <c r="E3" s="181"/>
      <c r="F3" s="181"/>
      <c r="G3" s="181"/>
      <c r="H3" s="181"/>
      <c r="I3" s="181"/>
      <c r="J3" s="182"/>
    </row>
    <row r="4" spans="1:10" ht="15">
      <c r="A4" s="178" t="s">
        <v>0</v>
      </c>
      <c r="B4" s="178" t="s">
        <v>5</v>
      </c>
      <c r="C4" s="178" t="s">
        <v>6</v>
      </c>
      <c r="D4" s="178" t="s">
        <v>3</v>
      </c>
      <c r="E4" s="178" t="s">
        <v>7</v>
      </c>
      <c r="F4" s="62" t="s">
        <v>619</v>
      </c>
      <c r="G4" s="176" t="s">
        <v>620</v>
      </c>
      <c r="H4" s="178" t="s">
        <v>621</v>
      </c>
      <c r="I4" s="178" t="s">
        <v>2</v>
      </c>
      <c r="J4" s="178" t="s">
        <v>1</v>
      </c>
    </row>
    <row r="5" spans="1:10" ht="15">
      <c r="A5" s="179"/>
      <c r="B5" s="179"/>
      <c r="C5" s="179"/>
      <c r="D5" s="179"/>
      <c r="E5" s="179"/>
      <c r="F5" s="63" t="s">
        <v>622</v>
      </c>
      <c r="G5" s="177"/>
      <c r="H5" s="179"/>
      <c r="I5" s="179"/>
      <c r="J5" s="179"/>
    </row>
    <row r="6" spans="1:10" ht="15">
      <c r="A6" s="183" t="s">
        <v>627</v>
      </c>
      <c r="B6" s="184"/>
      <c r="C6" s="184"/>
      <c r="D6" s="184"/>
      <c r="E6" s="184"/>
      <c r="F6" s="184"/>
      <c r="G6" s="184"/>
      <c r="H6" s="184"/>
      <c r="I6" s="184"/>
      <c r="J6" s="185"/>
    </row>
    <row r="7" spans="1:10" ht="15">
      <c r="A7" s="64" t="s">
        <v>628</v>
      </c>
      <c r="B7" s="65" t="s">
        <v>629</v>
      </c>
      <c r="C7" s="63">
        <v>55.65</v>
      </c>
      <c r="D7" s="63" t="s">
        <v>15</v>
      </c>
      <c r="E7" s="63" t="s">
        <v>16</v>
      </c>
      <c r="F7" s="63">
        <v>35</v>
      </c>
      <c r="G7" s="63">
        <v>43</v>
      </c>
      <c r="H7" s="63">
        <v>1505</v>
      </c>
      <c r="I7" s="63">
        <v>27.044025157232706</v>
      </c>
      <c r="J7" s="63" t="s">
        <v>20</v>
      </c>
    </row>
    <row r="8" ht="17.25" customHeight="1"/>
    <row r="9" spans="1:10" ht="18.75" customHeight="1">
      <c r="A9" s="180" t="s">
        <v>651</v>
      </c>
      <c r="B9" s="181"/>
      <c r="C9" s="181"/>
      <c r="D9" s="181"/>
      <c r="E9" s="181"/>
      <c r="F9" s="181"/>
      <c r="G9" s="181"/>
      <c r="H9" s="181"/>
      <c r="I9" s="181"/>
      <c r="J9" s="182"/>
    </row>
    <row r="10" spans="1:10" ht="15">
      <c r="A10" s="178" t="s">
        <v>0</v>
      </c>
      <c r="B10" s="178" t="s">
        <v>5</v>
      </c>
      <c r="C10" s="178" t="s">
        <v>6</v>
      </c>
      <c r="D10" s="178" t="s">
        <v>3</v>
      </c>
      <c r="E10" s="66" t="s">
        <v>7</v>
      </c>
      <c r="F10" s="66" t="s">
        <v>619</v>
      </c>
      <c r="G10" s="176" t="s">
        <v>620</v>
      </c>
      <c r="H10" s="178" t="s">
        <v>621</v>
      </c>
      <c r="I10" s="178" t="s">
        <v>2</v>
      </c>
      <c r="J10" s="178" t="s">
        <v>1</v>
      </c>
    </row>
    <row r="11" spans="1:10" ht="15">
      <c r="A11" s="179"/>
      <c r="B11" s="179"/>
      <c r="C11" s="179"/>
      <c r="D11" s="179"/>
      <c r="E11" s="67"/>
      <c r="F11" s="67" t="s">
        <v>622</v>
      </c>
      <c r="G11" s="177"/>
      <c r="H11" s="179"/>
      <c r="I11" s="179"/>
      <c r="J11" s="179"/>
    </row>
    <row r="12" spans="1:10" s="151" customFormat="1" ht="15">
      <c r="A12" s="186" t="s">
        <v>727</v>
      </c>
      <c r="B12" s="187"/>
      <c r="C12" s="187"/>
      <c r="D12" s="187"/>
      <c r="E12" s="187"/>
      <c r="F12" s="187"/>
      <c r="G12" s="187"/>
      <c r="H12" s="187"/>
      <c r="I12" s="187"/>
      <c r="J12" s="188"/>
    </row>
    <row r="13" spans="1:10" s="151" customFormat="1" ht="15">
      <c r="A13" s="136" t="s">
        <v>633</v>
      </c>
      <c r="B13" s="143" t="s">
        <v>634</v>
      </c>
      <c r="C13" s="143">
        <v>65.6</v>
      </c>
      <c r="D13" s="136" t="s">
        <v>15</v>
      </c>
      <c r="E13" s="136" t="s">
        <v>16</v>
      </c>
      <c r="F13" s="136">
        <v>55</v>
      </c>
      <c r="G13" s="136">
        <v>40</v>
      </c>
      <c r="H13" s="136">
        <v>2200</v>
      </c>
      <c r="I13" s="136">
        <v>33.53658536585366</v>
      </c>
      <c r="J13" s="136"/>
    </row>
    <row r="14" spans="1:10" ht="15">
      <c r="A14" s="148"/>
      <c r="B14" s="148"/>
      <c r="C14" s="148"/>
      <c r="D14" s="148"/>
      <c r="E14" s="141"/>
      <c r="F14" s="141"/>
      <c r="G14" s="147"/>
      <c r="H14" s="148"/>
      <c r="I14" s="148"/>
      <c r="J14" s="148"/>
    </row>
    <row r="15" spans="1:10" ht="15">
      <c r="A15" s="183" t="s">
        <v>185</v>
      </c>
      <c r="B15" s="184"/>
      <c r="C15" s="184"/>
      <c r="D15" s="184"/>
      <c r="E15" s="184"/>
      <c r="F15" s="184"/>
      <c r="G15" s="184"/>
      <c r="H15" s="184"/>
      <c r="I15" s="184"/>
      <c r="J15" s="185"/>
    </row>
    <row r="16" spans="1:10" ht="15">
      <c r="A16" s="68" t="s">
        <v>543</v>
      </c>
      <c r="B16" s="69" t="s">
        <v>631</v>
      </c>
      <c r="C16" s="69">
        <v>74.4</v>
      </c>
      <c r="D16" s="67" t="s">
        <v>15</v>
      </c>
      <c r="E16" s="67" t="s">
        <v>16</v>
      </c>
      <c r="F16" s="67">
        <v>55</v>
      </c>
      <c r="G16" s="67">
        <v>43</v>
      </c>
      <c r="H16" s="67">
        <v>2365</v>
      </c>
      <c r="I16" s="67">
        <v>31.78763440860215</v>
      </c>
      <c r="J16" s="67" t="s">
        <v>20</v>
      </c>
    </row>
    <row r="17" spans="1:10" ht="15">
      <c r="A17" s="68"/>
      <c r="B17" s="69"/>
      <c r="C17" s="69"/>
      <c r="D17" s="67"/>
      <c r="E17" s="67"/>
      <c r="F17" s="67"/>
      <c r="G17" s="67"/>
      <c r="H17" s="67"/>
      <c r="I17" s="67"/>
      <c r="J17" s="67"/>
    </row>
    <row r="18" spans="1:10" ht="15">
      <c r="A18" s="183" t="s">
        <v>632</v>
      </c>
      <c r="B18" s="184"/>
      <c r="C18" s="184"/>
      <c r="D18" s="184"/>
      <c r="E18" s="184"/>
      <c r="F18" s="184"/>
      <c r="G18" s="184"/>
      <c r="H18" s="184"/>
      <c r="I18" s="184"/>
      <c r="J18" s="185"/>
    </row>
    <row r="19" spans="1:10" ht="15">
      <c r="A19" s="70" t="s">
        <v>635</v>
      </c>
      <c r="B19" s="69" t="s">
        <v>636</v>
      </c>
      <c r="C19" s="71">
        <v>81</v>
      </c>
      <c r="D19" s="67" t="s">
        <v>15</v>
      </c>
      <c r="E19" s="67" t="s">
        <v>16</v>
      </c>
      <c r="F19" s="67">
        <v>55</v>
      </c>
      <c r="G19" s="67">
        <v>165</v>
      </c>
      <c r="H19" s="67">
        <v>9075</v>
      </c>
      <c r="I19" s="77">
        <v>112.03703703703704</v>
      </c>
      <c r="J19" s="67" t="s">
        <v>20</v>
      </c>
    </row>
    <row r="20" spans="1:10" ht="15">
      <c r="A20" s="70" t="s">
        <v>637</v>
      </c>
      <c r="B20" s="69" t="s">
        <v>638</v>
      </c>
      <c r="C20" s="71">
        <v>81</v>
      </c>
      <c r="D20" s="67" t="s">
        <v>15</v>
      </c>
      <c r="E20" s="67" t="s">
        <v>16</v>
      </c>
      <c r="F20" s="67">
        <v>55</v>
      </c>
      <c r="G20" s="67">
        <v>51</v>
      </c>
      <c r="H20" s="67">
        <v>2805</v>
      </c>
      <c r="I20" s="67">
        <v>34.629629629629626</v>
      </c>
      <c r="J20" s="67"/>
    </row>
    <row r="21" spans="1:10" ht="15">
      <c r="A21" s="70" t="s">
        <v>639</v>
      </c>
      <c r="B21" s="69" t="s">
        <v>640</v>
      </c>
      <c r="C21" s="69">
        <v>78.5</v>
      </c>
      <c r="D21" s="67" t="s">
        <v>15</v>
      </c>
      <c r="E21" s="67" t="s">
        <v>16</v>
      </c>
      <c r="F21" s="67">
        <v>55</v>
      </c>
      <c r="G21" s="67">
        <v>59</v>
      </c>
      <c r="H21" s="67">
        <v>3245</v>
      </c>
      <c r="I21" s="67">
        <v>41.33757961783439</v>
      </c>
      <c r="J21" s="67"/>
    </row>
    <row r="22" spans="1:10" ht="12.75" customHeight="1">
      <c r="A22" s="68" t="s">
        <v>641</v>
      </c>
      <c r="B22" s="69" t="s">
        <v>642</v>
      </c>
      <c r="C22" s="71">
        <v>81.25</v>
      </c>
      <c r="D22" s="67" t="s">
        <v>15</v>
      </c>
      <c r="E22" s="67" t="s">
        <v>16</v>
      </c>
      <c r="F22" s="67">
        <v>55</v>
      </c>
      <c r="G22" s="67">
        <v>50</v>
      </c>
      <c r="H22" s="67">
        <v>2750</v>
      </c>
      <c r="I22" s="67">
        <v>33.84615384615385</v>
      </c>
      <c r="J22" s="67"/>
    </row>
    <row r="23" spans="1:10" ht="12.75" customHeight="1">
      <c r="A23" s="68" t="s">
        <v>643</v>
      </c>
      <c r="B23" s="69" t="s">
        <v>644</v>
      </c>
      <c r="C23" s="69">
        <v>80.65</v>
      </c>
      <c r="D23" s="67" t="s">
        <v>15</v>
      </c>
      <c r="E23" s="67" t="s">
        <v>16</v>
      </c>
      <c r="F23" s="67">
        <v>55</v>
      </c>
      <c r="G23" s="67">
        <v>54</v>
      </c>
      <c r="H23" s="67">
        <v>2970</v>
      </c>
      <c r="I23" s="67">
        <v>36.825790452572846</v>
      </c>
      <c r="J23" s="67">
        <v>0</v>
      </c>
    </row>
    <row r="25" spans="1:10" ht="15">
      <c r="A25" s="68"/>
      <c r="B25" s="69"/>
      <c r="C25" s="69"/>
      <c r="D25" s="67"/>
      <c r="E25" s="67"/>
      <c r="F25" s="67"/>
      <c r="G25" s="67"/>
      <c r="H25" s="67"/>
      <c r="I25" s="67"/>
      <c r="J25" s="67"/>
    </row>
    <row r="26" spans="1:10" ht="15">
      <c r="A26" s="183" t="s">
        <v>51</v>
      </c>
      <c r="B26" s="184"/>
      <c r="C26" s="184"/>
      <c r="D26" s="184"/>
      <c r="E26" s="184"/>
      <c r="F26" s="184"/>
      <c r="G26" s="184"/>
      <c r="H26" s="184"/>
      <c r="I26" s="184"/>
      <c r="J26" s="185"/>
    </row>
    <row r="27" spans="1:10" ht="15">
      <c r="A27" s="70" t="s">
        <v>645</v>
      </c>
      <c r="B27" s="69" t="s">
        <v>646</v>
      </c>
      <c r="C27" s="71">
        <v>90</v>
      </c>
      <c r="D27" s="67" t="s">
        <v>15</v>
      </c>
      <c r="E27" s="67" t="s">
        <v>16</v>
      </c>
      <c r="F27" s="67">
        <v>55</v>
      </c>
      <c r="G27" s="67">
        <v>71</v>
      </c>
      <c r="H27" s="67">
        <v>3905</v>
      </c>
      <c r="I27" s="67">
        <v>43.388888888888886</v>
      </c>
      <c r="J27" s="67"/>
    </row>
    <row r="28" spans="1:10" ht="15">
      <c r="A28" s="68" t="s">
        <v>647</v>
      </c>
      <c r="B28" s="69" t="s">
        <v>648</v>
      </c>
      <c r="C28" s="71">
        <v>88.8</v>
      </c>
      <c r="D28" s="67" t="s">
        <v>15</v>
      </c>
      <c r="E28" s="67" t="s">
        <v>16</v>
      </c>
      <c r="F28" s="67">
        <v>55</v>
      </c>
      <c r="G28" s="67">
        <v>47</v>
      </c>
      <c r="H28" s="67">
        <v>2585</v>
      </c>
      <c r="I28" s="67">
        <v>29.11036036036036</v>
      </c>
      <c r="J28" s="67"/>
    </row>
    <row r="29" spans="1:10" ht="15">
      <c r="A29" s="75"/>
      <c r="B29" s="72"/>
      <c r="C29" s="76"/>
      <c r="D29" s="73"/>
      <c r="E29" s="73"/>
      <c r="F29" s="73"/>
      <c r="G29" s="73"/>
      <c r="H29" s="73"/>
      <c r="I29" s="73"/>
      <c r="J29" s="74"/>
    </row>
    <row r="30" spans="1:10" ht="15">
      <c r="A30" s="183" t="s">
        <v>62</v>
      </c>
      <c r="B30" s="184"/>
      <c r="C30" s="184"/>
      <c r="D30" s="184"/>
      <c r="E30" s="184"/>
      <c r="F30" s="184"/>
      <c r="G30" s="184"/>
      <c r="H30" s="184"/>
      <c r="I30" s="184"/>
      <c r="J30" s="185"/>
    </row>
    <row r="31" spans="1:10" ht="15">
      <c r="A31" s="68" t="s">
        <v>649</v>
      </c>
      <c r="B31" s="69" t="s">
        <v>650</v>
      </c>
      <c r="C31" s="71">
        <v>92.7</v>
      </c>
      <c r="D31" s="67" t="s">
        <v>15</v>
      </c>
      <c r="E31" s="67" t="s">
        <v>16</v>
      </c>
      <c r="F31" s="67">
        <v>55</v>
      </c>
      <c r="G31" s="67">
        <v>59</v>
      </c>
      <c r="H31" s="67">
        <v>3245</v>
      </c>
      <c r="I31" s="67">
        <v>35.00539374325782</v>
      </c>
      <c r="J31" s="67"/>
    </row>
    <row r="32" spans="1:10" ht="15">
      <c r="A32" s="80"/>
      <c r="B32" s="78"/>
      <c r="C32" s="79"/>
      <c r="D32" s="86"/>
      <c r="E32" s="86"/>
      <c r="F32" s="86"/>
      <c r="G32" s="86"/>
      <c r="H32" s="86"/>
      <c r="I32" s="86"/>
      <c r="J32" s="86"/>
    </row>
    <row r="33" spans="1:10" ht="15.75">
      <c r="A33" s="180" t="s">
        <v>657</v>
      </c>
      <c r="B33" s="181"/>
      <c r="C33" s="181"/>
      <c r="D33" s="181"/>
      <c r="E33" s="181"/>
      <c r="F33" s="181"/>
      <c r="G33" s="181"/>
      <c r="H33" s="181"/>
      <c r="I33" s="181"/>
      <c r="J33" s="182"/>
    </row>
    <row r="34" spans="1:10" ht="15">
      <c r="A34" s="178" t="s">
        <v>0</v>
      </c>
      <c r="B34" s="178" t="s">
        <v>5</v>
      </c>
      <c r="C34" s="178" t="s">
        <v>6</v>
      </c>
      <c r="D34" s="178" t="s">
        <v>3</v>
      </c>
      <c r="E34" s="81" t="s">
        <v>7</v>
      </c>
      <c r="F34" s="81" t="s">
        <v>619</v>
      </c>
      <c r="G34" s="176" t="s">
        <v>620</v>
      </c>
      <c r="H34" s="178" t="s">
        <v>621</v>
      </c>
      <c r="I34" s="178" t="s">
        <v>2</v>
      </c>
      <c r="J34" s="178" t="s">
        <v>1</v>
      </c>
    </row>
    <row r="35" spans="1:10" ht="15">
      <c r="A35" s="179"/>
      <c r="B35" s="179"/>
      <c r="C35" s="179"/>
      <c r="D35" s="179"/>
      <c r="E35" s="82"/>
      <c r="F35" s="82" t="s">
        <v>622</v>
      </c>
      <c r="G35" s="177"/>
      <c r="H35" s="179"/>
      <c r="I35" s="179"/>
      <c r="J35" s="179"/>
    </row>
    <row r="36" spans="1:10" ht="15">
      <c r="A36" s="183" t="s">
        <v>654</v>
      </c>
      <c r="B36" s="184"/>
      <c r="C36" s="184"/>
      <c r="D36" s="184"/>
      <c r="E36" s="184"/>
      <c r="F36" s="184"/>
      <c r="G36" s="184"/>
      <c r="H36" s="184"/>
      <c r="I36" s="184"/>
      <c r="J36" s="185"/>
    </row>
    <row r="37" spans="1:10" ht="15">
      <c r="A37" s="81" t="s">
        <v>655</v>
      </c>
      <c r="B37" s="83" t="s">
        <v>656</v>
      </c>
      <c r="C37" s="82">
        <v>74.75</v>
      </c>
      <c r="D37" s="82" t="s">
        <v>15</v>
      </c>
      <c r="E37" s="82" t="s">
        <v>16</v>
      </c>
      <c r="F37" s="82">
        <v>75</v>
      </c>
      <c r="G37" s="82">
        <v>17</v>
      </c>
      <c r="H37" s="82">
        <v>1275</v>
      </c>
      <c r="I37" s="82">
        <v>17.05685618729097</v>
      </c>
      <c r="J37" s="82" t="s">
        <v>20</v>
      </c>
    </row>
    <row r="38" spans="1:10" ht="15">
      <c r="A38" s="84"/>
      <c r="B38" s="85"/>
      <c r="C38" s="86"/>
      <c r="D38" s="86"/>
      <c r="E38" s="86"/>
      <c r="F38" s="86"/>
      <c r="G38" s="86"/>
      <c r="H38" s="86"/>
      <c r="I38" s="86"/>
      <c r="J38" s="86"/>
    </row>
    <row r="39" spans="1:10" ht="15.75">
      <c r="A39" s="180" t="s">
        <v>662</v>
      </c>
      <c r="B39" s="181"/>
      <c r="C39" s="181"/>
      <c r="D39" s="181"/>
      <c r="E39" s="181"/>
      <c r="F39" s="181"/>
      <c r="G39" s="181"/>
      <c r="H39" s="181"/>
      <c r="I39" s="181"/>
      <c r="J39" s="182"/>
    </row>
    <row r="40" spans="1:10" ht="15">
      <c r="A40" s="178" t="s">
        <v>0</v>
      </c>
      <c r="B40" s="178" t="s">
        <v>5</v>
      </c>
      <c r="C40" s="178" t="s">
        <v>6</v>
      </c>
      <c r="D40" s="178" t="s">
        <v>3</v>
      </c>
      <c r="E40" s="87" t="s">
        <v>7</v>
      </c>
      <c r="F40" s="87" t="s">
        <v>619</v>
      </c>
      <c r="G40" s="176" t="s">
        <v>620</v>
      </c>
      <c r="H40" s="178" t="s">
        <v>621</v>
      </c>
      <c r="I40" s="178" t="s">
        <v>2</v>
      </c>
      <c r="J40" s="178" t="s">
        <v>1</v>
      </c>
    </row>
    <row r="41" spans="1:10" ht="15">
      <c r="A41" s="179"/>
      <c r="B41" s="179"/>
      <c r="C41" s="179"/>
      <c r="D41" s="179"/>
      <c r="E41" s="88"/>
      <c r="F41" s="88" t="s">
        <v>622</v>
      </c>
      <c r="G41" s="177"/>
      <c r="H41" s="179"/>
      <c r="I41" s="179"/>
      <c r="J41" s="179"/>
    </row>
    <row r="42" spans="1:10" ht="15">
      <c r="A42" s="183" t="s">
        <v>38</v>
      </c>
      <c r="B42" s="184"/>
      <c r="C42" s="184"/>
      <c r="D42" s="184"/>
      <c r="E42" s="184"/>
      <c r="F42" s="184"/>
      <c r="G42" s="184"/>
      <c r="H42" s="184"/>
      <c r="I42" s="184"/>
      <c r="J42" s="185"/>
    </row>
    <row r="43" spans="1:11" ht="15">
      <c r="A43" s="92" t="s">
        <v>658</v>
      </c>
      <c r="B43" s="91" t="s">
        <v>659</v>
      </c>
      <c r="C43" s="93">
        <v>79.4</v>
      </c>
      <c r="D43" s="88" t="s">
        <v>15</v>
      </c>
      <c r="E43" s="88" t="s">
        <v>16</v>
      </c>
      <c r="F43" s="88" t="s">
        <v>399</v>
      </c>
      <c r="G43" s="89">
        <v>23</v>
      </c>
      <c r="H43" s="88">
        <v>2300</v>
      </c>
      <c r="I43" s="88">
        <v>28.96725440806045</v>
      </c>
      <c r="J43" s="88"/>
      <c r="K43" s="86"/>
    </row>
    <row r="44" spans="1:11" ht="15">
      <c r="A44" s="183" t="s">
        <v>62</v>
      </c>
      <c r="B44" s="184"/>
      <c r="C44" s="184"/>
      <c r="D44" s="184"/>
      <c r="E44" s="184"/>
      <c r="F44" s="184"/>
      <c r="G44" s="184"/>
      <c r="H44" s="184"/>
      <c r="I44" s="184"/>
      <c r="J44" s="185"/>
      <c r="K44" s="94"/>
    </row>
    <row r="45" spans="1:11" ht="15">
      <c r="A45" s="90" t="s">
        <v>660</v>
      </c>
      <c r="B45" s="91" t="s">
        <v>661</v>
      </c>
      <c r="C45" s="91">
        <v>94.5</v>
      </c>
      <c r="D45" s="88" t="s">
        <v>15</v>
      </c>
      <c r="E45" s="88" t="s">
        <v>16</v>
      </c>
      <c r="F45" s="88" t="s">
        <v>399</v>
      </c>
      <c r="G45" s="89">
        <v>19</v>
      </c>
      <c r="H45" s="88">
        <v>1900</v>
      </c>
      <c r="I45" s="88">
        <v>20.105820105820104</v>
      </c>
      <c r="J45" s="88" t="s">
        <v>20</v>
      </c>
      <c r="K45" s="86"/>
    </row>
    <row r="47" spans="1:10" ht="22.5" customHeight="1">
      <c r="A47" s="194" t="s">
        <v>652</v>
      </c>
      <c r="B47" s="195"/>
      <c r="C47" s="195"/>
      <c r="D47" s="195"/>
      <c r="E47" s="195"/>
      <c r="F47" s="195"/>
      <c r="G47" s="195"/>
      <c r="H47" s="195"/>
      <c r="I47" s="195"/>
      <c r="J47" s="196"/>
    </row>
    <row r="48" spans="1:10" ht="15">
      <c r="A48" s="178" t="s">
        <v>0</v>
      </c>
      <c r="B48" s="178" t="s">
        <v>5</v>
      </c>
      <c r="C48" s="178" t="s">
        <v>6</v>
      </c>
      <c r="D48" s="178" t="s">
        <v>3</v>
      </c>
      <c r="E48" s="62" t="s">
        <v>7</v>
      </c>
      <c r="F48" s="62" t="s">
        <v>619</v>
      </c>
      <c r="G48" s="176" t="s">
        <v>620</v>
      </c>
      <c r="H48" s="178" t="s">
        <v>621</v>
      </c>
      <c r="I48" s="178" t="s">
        <v>2</v>
      </c>
      <c r="J48" s="178" t="s">
        <v>1</v>
      </c>
    </row>
    <row r="49" spans="1:10" ht="15">
      <c r="A49" s="179"/>
      <c r="B49" s="179"/>
      <c r="C49" s="179"/>
      <c r="D49" s="179"/>
      <c r="E49" s="63"/>
      <c r="F49" s="63" t="s">
        <v>622</v>
      </c>
      <c r="G49" s="177"/>
      <c r="H49" s="179"/>
      <c r="I49" s="179"/>
      <c r="J49" s="179"/>
    </row>
    <row r="50" spans="1:10" ht="15">
      <c r="A50" s="183" t="s">
        <v>51</v>
      </c>
      <c r="B50" s="184"/>
      <c r="C50" s="184"/>
      <c r="D50" s="184"/>
      <c r="E50" s="184"/>
      <c r="F50" s="184"/>
      <c r="G50" s="184"/>
      <c r="H50" s="184"/>
      <c r="I50" s="184"/>
      <c r="J50" s="185"/>
    </row>
    <row r="51" spans="1:10" ht="15">
      <c r="A51" s="59" t="s">
        <v>108</v>
      </c>
      <c r="B51" s="60" t="s">
        <v>623</v>
      </c>
      <c r="C51" s="59">
        <v>89.15</v>
      </c>
      <c r="D51" s="59" t="s">
        <v>15</v>
      </c>
      <c r="E51" s="59" t="s">
        <v>16</v>
      </c>
      <c r="F51" s="59">
        <v>75</v>
      </c>
      <c r="G51" s="59">
        <v>24</v>
      </c>
      <c r="H51" s="59">
        <v>1800</v>
      </c>
      <c r="I51" s="59">
        <v>20.190689848569825</v>
      </c>
      <c r="J51" s="59" t="s">
        <v>20</v>
      </c>
    </row>
    <row r="52" spans="1:10" ht="15">
      <c r="A52" s="61"/>
      <c r="B52" s="60"/>
      <c r="C52" s="59"/>
      <c r="D52" s="59"/>
      <c r="E52" s="59"/>
      <c r="F52" s="59"/>
      <c r="G52" s="59"/>
      <c r="H52" s="59"/>
      <c r="I52" s="59"/>
      <c r="J52" s="59"/>
    </row>
    <row r="53" spans="1:10" ht="15">
      <c r="A53" s="183" t="s">
        <v>62</v>
      </c>
      <c r="B53" s="184"/>
      <c r="C53" s="184"/>
      <c r="D53" s="184"/>
      <c r="E53" s="184"/>
      <c r="F53" s="184"/>
      <c r="G53" s="184"/>
      <c r="H53" s="184"/>
      <c r="I53" s="184"/>
      <c r="J53" s="185"/>
    </row>
    <row r="54" spans="1:10" ht="30">
      <c r="A54" s="61" t="s">
        <v>624</v>
      </c>
      <c r="B54" s="60" t="s">
        <v>625</v>
      </c>
      <c r="C54" s="59">
        <v>99.45</v>
      </c>
      <c r="D54" s="59" t="s">
        <v>15</v>
      </c>
      <c r="E54" s="59" t="s">
        <v>16</v>
      </c>
      <c r="F54" s="59">
        <v>75</v>
      </c>
      <c r="G54" s="59">
        <v>37</v>
      </c>
      <c r="H54" s="59">
        <v>2775</v>
      </c>
      <c r="I54" s="59">
        <v>27.90346907993967</v>
      </c>
      <c r="J54" s="59" t="s">
        <v>20</v>
      </c>
    </row>
    <row r="56" spans="1:10" ht="15">
      <c r="A56" s="183" t="s">
        <v>77</v>
      </c>
      <c r="B56" s="184"/>
      <c r="C56" s="184"/>
      <c r="D56" s="184"/>
      <c r="E56" s="184"/>
      <c r="F56" s="184"/>
      <c r="G56" s="184"/>
      <c r="H56" s="184"/>
      <c r="I56" s="184"/>
      <c r="J56" s="185"/>
    </row>
    <row r="57" spans="1:10" ht="15">
      <c r="A57" s="59" t="s">
        <v>518</v>
      </c>
      <c r="B57" s="60" t="s">
        <v>626</v>
      </c>
      <c r="C57" s="59">
        <v>108.8</v>
      </c>
      <c r="D57" s="59" t="s">
        <v>15</v>
      </c>
      <c r="E57" s="59" t="s">
        <v>16</v>
      </c>
      <c r="F57" s="59">
        <v>75</v>
      </c>
      <c r="G57" s="59">
        <v>29</v>
      </c>
      <c r="H57" s="59">
        <v>2175</v>
      </c>
      <c r="I57" s="59">
        <v>19.990808823529413</v>
      </c>
      <c r="J57" s="59" t="s">
        <v>20</v>
      </c>
    </row>
    <row r="59" spans="1:10" ht="12.75">
      <c r="A59" s="197" t="s">
        <v>653</v>
      </c>
      <c r="B59" s="198"/>
      <c r="C59" s="198"/>
      <c r="D59" s="198"/>
      <c r="E59" s="198"/>
      <c r="F59" s="198"/>
      <c r="G59" s="198"/>
      <c r="H59" s="198"/>
      <c r="I59" s="198"/>
      <c r="J59" s="199"/>
    </row>
    <row r="60" spans="1:10" ht="12.75">
      <c r="A60" s="200"/>
      <c r="B60" s="201"/>
      <c r="C60" s="201"/>
      <c r="D60" s="201"/>
      <c r="E60" s="201"/>
      <c r="F60" s="201"/>
      <c r="G60" s="201"/>
      <c r="H60" s="201"/>
      <c r="I60" s="201"/>
      <c r="J60" s="202"/>
    </row>
    <row r="61" spans="1:10" ht="15">
      <c r="A61" s="178" t="s">
        <v>0</v>
      </c>
      <c r="B61" s="178" t="s">
        <v>5</v>
      </c>
      <c r="C61" s="178" t="s">
        <v>6</v>
      </c>
      <c r="D61" s="178" t="s">
        <v>3</v>
      </c>
      <c r="E61" s="55" t="s">
        <v>7</v>
      </c>
      <c r="F61" s="55" t="s">
        <v>619</v>
      </c>
      <c r="G61" s="176" t="s">
        <v>620</v>
      </c>
      <c r="H61" s="178" t="s">
        <v>621</v>
      </c>
      <c r="I61" s="178" t="s">
        <v>2</v>
      </c>
      <c r="J61" s="178" t="s">
        <v>1</v>
      </c>
    </row>
    <row r="62" spans="1:10" ht="15">
      <c r="A62" s="179"/>
      <c r="B62" s="179"/>
      <c r="C62" s="179"/>
      <c r="D62" s="179"/>
      <c r="E62" s="56"/>
      <c r="F62" s="56" t="s">
        <v>622</v>
      </c>
      <c r="G62" s="177"/>
      <c r="H62" s="179"/>
      <c r="I62" s="179"/>
      <c r="J62" s="179"/>
    </row>
    <row r="63" spans="1:10" ht="15">
      <c r="A63" s="183" t="s">
        <v>62</v>
      </c>
      <c r="B63" s="184"/>
      <c r="C63" s="184"/>
      <c r="D63" s="184"/>
      <c r="E63" s="184"/>
      <c r="F63" s="184"/>
      <c r="G63" s="184"/>
      <c r="H63" s="184"/>
      <c r="I63" s="184"/>
      <c r="J63" s="185"/>
    </row>
    <row r="64" spans="1:10" ht="15">
      <c r="A64" s="56" t="s">
        <v>377</v>
      </c>
      <c r="B64" s="56" t="s">
        <v>378</v>
      </c>
      <c r="C64" s="56">
        <v>99.5</v>
      </c>
      <c r="D64" s="56" t="s">
        <v>15</v>
      </c>
      <c r="E64" s="56" t="s">
        <v>16</v>
      </c>
      <c r="F64" s="56">
        <v>125</v>
      </c>
      <c r="G64" s="56">
        <v>15</v>
      </c>
      <c r="H64" s="56">
        <v>1875</v>
      </c>
      <c r="I64" s="56">
        <v>18.844221105527637</v>
      </c>
      <c r="J64" s="56" t="s">
        <v>20</v>
      </c>
    </row>
    <row r="67" spans="1:10" ht="15.75">
      <c r="A67" s="54"/>
      <c r="B67" s="54"/>
      <c r="C67" s="54"/>
      <c r="D67" s="54"/>
      <c r="E67" s="57" t="s">
        <v>84</v>
      </c>
      <c r="F67" s="58" t="s">
        <v>613</v>
      </c>
      <c r="G67" s="54"/>
      <c r="H67" s="54"/>
      <c r="I67" s="54"/>
      <c r="J67" s="54"/>
    </row>
    <row r="68" spans="1:10" ht="15.75">
      <c r="A68" s="54"/>
      <c r="B68" s="54"/>
      <c r="C68" s="54"/>
      <c r="D68" s="54"/>
      <c r="E68" s="57" t="s">
        <v>85</v>
      </c>
      <c r="F68" s="58" t="s">
        <v>614</v>
      </c>
      <c r="G68" s="54"/>
      <c r="H68" s="54"/>
      <c r="I68" s="54"/>
      <c r="J68" s="54"/>
    </row>
    <row r="69" spans="1:10" ht="15.75">
      <c r="A69" s="54"/>
      <c r="B69" s="54"/>
      <c r="C69" s="54"/>
      <c r="D69" s="54"/>
      <c r="E69" s="57" t="s">
        <v>86</v>
      </c>
      <c r="F69" s="58" t="s">
        <v>613</v>
      </c>
      <c r="G69" s="54"/>
      <c r="H69" s="54"/>
      <c r="I69" s="54"/>
      <c r="J69" s="54"/>
    </row>
    <row r="70" spans="1:10" ht="15.75">
      <c r="A70" s="54"/>
      <c r="B70" s="54"/>
      <c r="C70" s="54"/>
      <c r="D70" s="54"/>
      <c r="E70" s="57" t="s">
        <v>87</v>
      </c>
      <c r="F70" s="58" t="s">
        <v>323</v>
      </c>
      <c r="G70" s="54"/>
      <c r="H70" s="54"/>
      <c r="I70" s="54"/>
      <c r="J70" s="54"/>
    </row>
    <row r="71" spans="1:10" ht="15.75">
      <c r="A71" s="54"/>
      <c r="B71" s="54"/>
      <c r="C71" s="54"/>
      <c r="D71" s="54"/>
      <c r="E71" s="57" t="s">
        <v>87</v>
      </c>
      <c r="F71" s="58" t="s">
        <v>615</v>
      </c>
      <c r="G71" s="54"/>
      <c r="H71" s="54"/>
      <c r="I71" s="54"/>
      <c r="J71" s="54"/>
    </row>
    <row r="74" spans="1:4" ht="23.25">
      <c r="A74" s="149" t="s">
        <v>88</v>
      </c>
      <c r="B74" s="37"/>
      <c r="C74" s="37"/>
      <c r="D74" s="37"/>
    </row>
    <row r="75" spans="1:4" ht="12.75">
      <c r="A75" s="37" t="s">
        <v>98</v>
      </c>
      <c r="B75" s="37"/>
      <c r="C75" s="37"/>
      <c r="D75" s="37"/>
    </row>
    <row r="76" spans="1:4" ht="12.75">
      <c r="A76" s="37"/>
      <c r="B76" s="37" t="s">
        <v>90</v>
      </c>
      <c r="C76" s="37"/>
      <c r="D76" s="37"/>
    </row>
    <row r="77" spans="1:4" ht="12.75">
      <c r="A77" s="37" t="s">
        <v>91</v>
      </c>
      <c r="B77" s="37" t="s">
        <v>92</v>
      </c>
      <c r="C77" s="37" t="s">
        <v>93</v>
      </c>
      <c r="D77" s="37" t="s">
        <v>726</v>
      </c>
    </row>
    <row r="78" spans="1:4" ht="12.75">
      <c r="A78" s="150" t="s">
        <v>635</v>
      </c>
      <c r="B78" s="38" t="s">
        <v>90</v>
      </c>
      <c r="C78" s="38" t="s">
        <v>102</v>
      </c>
      <c r="D78" s="33">
        <v>112.03703703703704</v>
      </c>
    </row>
    <row r="79" spans="1:4" ht="12.75">
      <c r="A79" s="37"/>
      <c r="B79" s="37"/>
      <c r="C79" s="37"/>
      <c r="D79" s="37"/>
    </row>
  </sheetData>
  <sheetProtection/>
  <mergeCells count="69">
    <mergeCell ref="A47:J47"/>
    <mergeCell ref="A15:J15"/>
    <mergeCell ref="A10:A11"/>
    <mergeCell ref="B10:B11"/>
    <mergeCell ref="A63:J63"/>
    <mergeCell ref="A59:J60"/>
    <mergeCell ref="A61:A62"/>
    <mergeCell ref="B61:B62"/>
    <mergeCell ref="C61:C62"/>
    <mergeCell ref="D61:D62"/>
    <mergeCell ref="G61:G62"/>
    <mergeCell ref="H61:H62"/>
    <mergeCell ref="I61:I62"/>
    <mergeCell ref="J61:J62"/>
    <mergeCell ref="G48:G49"/>
    <mergeCell ref="H48:H49"/>
    <mergeCell ref="A6:J6"/>
    <mergeCell ref="A1:J2"/>
    <mergeCell ref="A4:A5"/>
    <mergeCell ref="B4:B5"/>
    <mergeCell ref="C4:C5"/>
    <mergeCell ref="D4:D5"/>
    <mergeCell ref="G4:G5"/>
    <mergeCell ref="H4:H5"/>
    <mergeCell ref="I4:I5"/>
    <mergeCell ref="J4:J5"/>
    <mergeCell ref="A3:J3"/>
    <mergeCell ref="E4:E5"/>
    <mergeCell ref="I48:I49"/>
    <mergeCell ref="J48:J49"/>
    <mergeCell ref="A53:J53"/>
    <mergeCell ref="A48:A49"/>
    <mergeCell ref="B48:B49"/>
    <mergeCell ref="C48:C49"/>
    <mergeCell ref="D48:D49"/>
    <mergeCell ref="A56:J56"/>
    <mergeCell ref="A50:J50"/>
    <mergeCell ref="A18:J18"/>
    <mergeCell ref="A26:J26"/>
    <mergeCell ref="A30:J30"/>
    <mergeCell ref="D34:D35"/>
    <mergeCell ref="G34:G35"/>
    <mergeCell ref="H34:H35"/>
    <mergeCell ref="I34:I35"/>
    <mergeCell ref="J34:J35"/>
    <mergeCell ref="A33:J33"/>
    <mergeCell ref="J40:J41"/>
    <mergeCell ref="A42:J42"/>
    <mergeCell ref="A40:A41"/>
    <mergeCell ref="B40:B41"/>
    <mergeCell ref="C40:C41"/>
    <mergeCell ref="J10:J11"/>
    <mergeCell ref="A12:J12"/>
    <mergeCell ref="A9:J9"/>
    <mergeCell ref="A36:J36"/>
    <mergeCell ref="A34:A35"/>
    <mergeCell ref="B34:B35"/>
    <mergeCell ref="C34:C35"/>
    <mergeCell ref="C10:C11"/>
    <mergeCell ref="D10:D11"/>
    <mergeCell ref="G10:G11"/>
    <mergeCell ref="H10:H11"/>
    <mergeCell ref="I10:I11"/>
    <mergeCell ref="G40:G41"/>
    <mergeCell ref="H40:H41"/>
    <mergeCell ref="I40:I41"/>
    <mergeCell ref="A39:J39"/>
    <mergeCell ref="A44:J44"/>
    <mergeCell ref="D40:D4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2019-11-13T16:24:52Z</dcterms:modified>
  <cp:category/>
  <cp:version/>
  <cp:contentType/>
  <cp:contentStatus/>
</cp:coreProperties>
</file>