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500" firstSheet="34" activeTab="36"/>
  </bookViews>
  <sheets>
    <sheet name="Лист59" sheetId="1" r:id="rId1"/>
    <sheet name="РТ любители 150 кг." sheetId="2" r:id="rId2"/>
    <sheet name="РЖ любители 125 кг." sheetId="3" r:id="rId3"/>
    <sheet name="РЖ любители 100 кг." sheetId="4" r:id="rId4"/>
    <sheet name="РЖ любители 75 кг." sheetId="5" r:id="rId5"/>
    <sheet name="РЖ любители 55 кг." sheetId="6" r:id="rId6"/>
    <sheet name="РЖ любители 35 кг." sheetId="7" r:id="rId7"/>
    <sheet name="РЖ Проф 150 кг." sheetId="8" r:id="rId8"/>
    <sheet name="РЖ Проф 125 кг." sheetId="9" r:id="rId9"/>
    <sheet name="РЖ Проф 100 кг." sheetId="10" r:id="rId10"/>
    <sheet name="РЖ Проф 75 кг." sheetId="11" r:id="rId11"/>
    <sheet name="14-48-04РЖ Проф 55 кг." sheetId="12" r:id="rId12"/>
    <sheet name="РЖ Проф 55 кг." sheetId="13" r:id="rId13"/>
    <sheet name="Пауэрспорт Профессионалы" sheetId="14" r:id="rId14"/>
    <sheet name="Пауэрспорт Любители" sheetId="15" r:id="rId15"/>
    <sheet name="Бицепс Профессионалы" sheetId="16" r:id="rId16"/>
    <sheet name="Бицепс Любители" sheetId="17" r:id="rId17"/>
    <sheet name="Жим стоя Профессионалы" sheetId="18" r:id="rId18"/>
    <sheet name="Жим стоя Любители" sheetId="19" r:id="rId19"/>
    <sheet name="Проф. народный жим 1_2 вес" sheetId="20" r:id="rId20"/>
    <sheet name="Проф. народный жим 1 вес" sheetId="21" r:id="rId21"/>
    <sheet name="Люб. народный жим 1_2 вес" sheetId="22" r:id="rId22"/>
    <sheet name="Люб. народный жим 1 вес" sheetId="23" r:id="rId23"/>
    <sheet name="Двоеборье проф." sheetId="24" r:id="rId24"/>
    <sheet name="Двоеборье люб" sheetId="25" r:id="rId25"/>
    <sheet name="ПРО присед софт экип." sheetId="26" r:id="rId26"/>
    <sheet name="Люб. присед софт экип." sheetId="27" r:id="rId27"/>
    <sheet name="ПРО присед б.э." sheetId="28" r:id="rId28"/>
    <sheet name="Люб. присед б.э." sheetId="29" r:id="rId29"/>
    <sheet name="ПРО присед 1.слой" sheetId="30" r:id="rId30"/>
    <sheet name="Люб. присед 1.слой" sheetId="31" r:id="rId31"/>
    <sheet name="ПРО присед мн.слой" sheetId="32" r:id="rId32"/>
    <sheet name="Люб. присед мн.слой" sheetId="33" r:id="rId33"/>
    <sheet name="ПРО тяга софт экип." sheetId="34" r:id="rId34"/>
    <sheet name="Люб. тяга софт экип." sheetId="35" r:id="rId35"/>
    <sheet name="ПРО тяга б.э." sheetId="36" r:id="rId36"/>
    <sheet name="Люб. тяга б.э." sheetId="37" r:id="rId37"/>
    <sheet name="ПРО тяга 1.слой" sheetId="38" r:id="rId38"/>
    <sheet name="Люб. тяга 1.слой" sheetId="39" r:id="rId39"/>
    <sheet name="ПРО тяга мн.слой" sheetId="40" r:id="rId40"/>
    <sheet name="Люб. тяга мн.слой" sheetId="41" r:id="rId41"/>
    <sheet name="ПРО жим софт экип. 3сл." sheetId="42" r:id="rId42"/>
    <sheet name="ПРО жим софт экип." sheetId="43" r:id="rId43"/>
    <sheet name="Люб. жим софт экип." sheetId="44" r:id="rId44"/>
    <sheet name="ПРО жим б.э." sheetId="45" r:id="rId45"/>
    <sheet name="Люб. жим б.э." sheetId="46" r:id="rId46"/>
    <sheet name="ПРО жим 1.слой" sheetId="47" r:id="rId47"/>
    <sheet name="Люб. жим 1.слой" sheetId="48" r:id="rId48"/>
    <sheet name="ПРО жим мн.слой" sheetId="49" r:id="rId49"/>
    <sheet name="Люб. жим мн.слой" sheetId="50" r:id="rId50"/>
    <sheet name="ПРО Военный жим" sheetId="51" r:id="rId51"/>
    <sheet name="Люб. Военный жим" sheetId="52" r:id="rId52"/>
    <sheet name="ПРО ПЛ. софт экип." sheetId="53" r:id="rId53"/>
    <sheet name="Люб. ПЛ. софт экип." sheetId="54" r:id="rId54"/>
    <sheet name="ПРО ПЛ. б.э." sheetId="55" r:id="rId55"/>
    <sheet name="Люб. ПЛ. б.э." sheetId="56" r:id="rId56"/>
    <sheet name="ПРО ПЛ. 1.слой" sheetId="57" r:id="rId57"/>
    <sheet name="Люб. ПЛ. 1.слой" sheetId="58" r:id="rId58"/>
    <sheet name="ПРО ПЛ. мн.слой" sheetId="59" r:id="rId59"/>
    <sheet name="Люб. ПЛ. мн.слой" sheetId="60" r:id="rId60"/>
  </sheets>
  <definedNames/>
  <calcPr fullCalcOnLoad="1"/>
</workbook>
</file>

<file path=xl/sharedStrings.xml><?xml version="1.0" encoding="utf-8"?>
<sst xmlns="http://schemas.openxmlformats.org/spreadsheetml/2006/main" count="2769" uniqueCount="721">
  <si>
    <t>ФИО</t>
  </si>
  <si>
    <t>Возрастная группа
Дата рождения/Возраст</t>
  </si>
  <si>
    <t>Собственный 
Вес</t>
  </si>
  <si>
    <t>Коэф</t>
  </si>
  <si>
    <t>Команда</t>
  </si>
  <si>
    <t>Город/Область</t>
  </si>
  <si>
    <t>Присед</t>
  </si>
  <si>
    <t>Жим</t>
  </si>
  <si>
    <t>Тяга</t>
  </si>
  <si>
    <t>Сумма</t>
  </si>
  <si>
    <t>Очки</t>
  </si>
  <si>
    <t>Тренер</t>
  </si>
  <si>
    <t>Рек</t>
  </si>
  <si>
    <t>Чемпионат Восточной Европы по РЖ. Краснодар 6-7 апреля
Русская тяга любители 150 кг.
Краснодар/Краснодарский край 5 - 7 апреля 2019 г.</t>
  </si>
  <si>
    <t>Жим мн. повт.</t>
  </si>
  <si>
    <t>Тоннаж</t>
  </si>
  <si>
    <t>Вес</t>
  </si>
  <si>
    <t>Повторы</t>
  </si>
  <si>
    <t xml:space="preserve">Ачмизов Руслан </t>
  </si>
  <si>
    <t>1.11.1986</t>
  </si>
  <si>
    <t>66,1</t>
  </si>
  <si>
    <t>Краснодар</t>
  </si>
  <si>
    <t>150</t>
  </si>
  <si>
    <t>6000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</si>
  <si>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</si>
  <si>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</si>
  <si>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</si>
  <si>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</si>
  <si>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</si>
  <si>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</si>
  <si>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Чемпионат Восточной Европы по РЖ. Краснодар 6-7 апреля
Русский жим любители 125 кг.
Краснодар/Краснодарский край 5 - 7 апреля 2019 г.</t>
  </si>
  <si>
    <t>Чемпионат Восточной Европы по РЖ. Краснодар 6-7 апреля
Русский жим любители 100 кг.
Краснодар/Краснодарский край 5 - 7 апреля 2019 г.</t>
  </si>
  <si>
    <t>Чемпионат Восточной Европы по РЖ. Краснодар 6-7 апреля
Русский жим любители 75 кг.
Краснодар/Краснодарский край 5 - 7 апреля 2019 г.</t>
  </si>
  <si>
    <t>Чемпионат Восточной Европы по РЖ. Краснодар 6-7 апреля
Русский жим любители 55 кг.
Краснодар/Краснодарский край 5 - 7 апреля 2019 г.</t>
  </si>
  <si>
    <t>Атлетизм</t>
  </si>
  <si>
    <t>ВЕСОВАЯ КАТЕГОРИЯ   All</t>
  </si>
  <si>
    <t>1. Сафонов Александр</t>
  </si>
  <si>
    <t>Открытая (18.02.1976)/43</t>
  </si>
  <si>
    <t>90,00</t>
  </si>
  <si>
    <t xml:space="preserve">Лично </t>
  </si>
  <si>
    <t xml:space="preserve">Сочи/Краснодарский край </t>
  </si>
  <si>
    <t>55,0</t>
  </si>
  <si>
    <t>66,0</t>
  </si>
  <si>
    <t xml:space="preserve"> </t>
  </si>
  <si>
    <t>2. Гончаров Эдуард</t>
  </si>
  <si>
    <t>Открытая (27.11.1991)/27</t>
  </si>
  <si>
    <t>86,20</t>
  </si>
  <si>
    <t xml:space="preserve">Краснодар/Краснодарский край </t>
  </si>
  <si>
    <t>49,0</t>
  </si>
  <si>
    <t>3. Ирхин Алексей</t>
  </si>
  <si>
    <t>Открытая (08.02.1989)/30</t>
  </si>
  <si>
    <t>68,50</t>
  </si>
  <si>
    <t xml:space="preserve">Ростов-на-Дону/Ростовская область </t>
  </si>
  <si>
    <t>41,0</t>
  </si>
  <si>
    <t>Мастера 40 - 44 (18.02.1976)/43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</si>
  <si>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</si>
  <si>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</si>
  <si>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</si>
  <si>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</si>
  <si>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</si>
  <si>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</si>
  <si>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Атлетизм </t>
  </si>
  <si>
    <t>Сафонов Александр</t>
  </si>
  <si>
    <t>All</t>
  </si>
  <si>
    <t>3630,0</t>
  </si>
  <si>
    <t>40,3333</t>
  </si>
  <si>
    <t>Ирхин Алексей</t>
  </si>
  <si>
    <t>2255,0</t>
  </si>
  <si>
    <t>32,9197</t>
  </si>
  <si>
    <t>Гончаров Эдуард</t>
  </si>
  <si>
    <t>2695,0</t>
  </si>
  <si>
    <t>31,2645</t>
  </si>
  <si>
    <t xml:space="preserve">Мастера </t>
  </si>
  <si>
    <t xml:space="preserve">Мастера 40 - 44 </t>
  </si>
  <si>
    <t>Чемпионат Восточной Европы по РЖ. Краснодар 6-7 апреля
Русский жим любители 35 кг.
Краснодар/Краснодарский край 5 - 7 апреля 2019 г.</t>
  </si>
  <si>
    <t>Чемпионат Восточной Европы по РЖ. Краснодар 6-7 апреля
Русский жим профессионалы 150 кг.
Краснодар/Краснодарский край 5 - 7 апреля 2019 г.</t>
  </si>
  <si>
    <t>Чемпионат Восточной Европы по РЖ. Краснодар 6-7 апреля
Русский жим профессионалы 125 кг.
Краснодар/Краснодарский край 5 - 7 апреля 2019 г.</t>
  </si>
  <si>
    <t>Чемпионат Восточной Европы по РЖ. Краснодар 6-7 апреля
Русский жим профессионалы 100 кг.
Краснодар/Краснодарский край 5 - 7 апреля 2019 г.</t>
  </si>
  <si>
    <t>Чемпионат Восточной Европы по РЖ. Краснодар 6-7 апреля
Русский жим профессионалы 75 кг.
Краснодар/Краснодарский край 5 - 7 апреля 2019 г.</t>
  </si>
  <si>
    <t>Чемпионат Восточной Европы по РЖ. Краснодар 6-7 апреля
Русский жим профессионалы 55 кг.
Краснодар/Краснодарский край 5 - 7 апреля 2019 г.</t>
  </si>
  <si>
    <t>Чемпионат Восточной Европы по РЖ. Краснодар 6-7 апреля
Русский жим профессионалы 35 кг.
Краснодар/Краснодарский край 5 - 7 апреля 2019 г.</t>
  </si>
  <si>
    <t>1. Скляр Наталья</t>
  </si>
  <si>
    <t>Мастера 50 - 54 (28.01.1967)/52</t>
  </si>
  <si>
    <t>60,00</t>
  </si>
  <si>
    <t>35,0</t>
  </si>
  <si>
    <t>37,0</t>
  </si>
  <si>
    <t xml:space="preserve">Женщины </t>
  </si>
  <si>
    <t>Скляр Наталья</t>
  </si>
  <si>
    <t xml:space="preserve">Мастера 50 - 54 </t>
  </si>
  <si>
    <t>1295,0</t>
  </si>
  <si>
    <t>21,5833</t>
  </si>
  <si>
    <t>Чемпионат Восточной Европы по пауэрспорту. Краснодар 6-7 апреля
Пауэрспорт Профессионалы
Краснодар/Краснодарский край 5 - 7 апреля 2019 г.</t>
  </si>
  <si>
    <t>Чемпионат Восточной Европы по пауэрспорту. Краснодар 6-7 апреля
Пауэрспорт Любители
Краснодар/Краснодарский край 5 - 7 апреля 2019 г.</t>
  </si>
  <si>
    <t>Shv/Mel</t>
  </si>
  <si>
    <t>Жим стоя</t>
  </si>
  <si>
    <t>Подъем на бицепс</t>
  </si>
  <si>
    <t>ВЕСОВАЯ КАТЕГОРИЯ   90</t>
  </si>
  <si>
    <t>1. Гусейнов Артурамин</t>
  </si>
  <si>
    <t>Юноши 16 - 17 (24.04.2001)/17</t>
  </si>
  <si>
    <t>86,00</t>
  </si>
  <si>
    <t xml:space="preserve">Ейск/Краснодарский край </t>
  </si>
  <si>
    <t>70,0</t>
  </si>
  <si>
    <t>80,0</t>
  </si>
  <si>
    <t>82,5</t>
  </si>
  <si>
    <t>50,0</t>
  </si>
  <si>
    <t xml:space="preserve">Юноши </t>
  </si>
  <si>
    <t xml:space="preserve">Shv/Mel </t>
  </si>
  <si>
    <t>Гусейнов Артурамин</t>
  </si>
  <si>
    <t xml:space="preserve">Юноши 16 - 17 </t>
  </si>
  <si>
    <t>90</t>
  </si>
  <si>
    <t>132,5</t>
  </si>
  <si>
    <t>86,1748</t>
  </si>
  <si>
    <t>Чемпионат Восточной Европы по пауэрспорту. Краснодар 6-7 апреля
Одиночный подъём штанги на бицепс Профессионалы
Краснодар/Краснодарский край 5 - 7 апреля 2019 г.</t>
  </si>
  <si>
    <t>Результат</t>
  </si>
  <si>
    <t>Чемпионат Восточной Европы по пауэрспорту. Краснодар 6-7 апреля
Одиночный подъём штанги на бицепс Любители
Краснодар/Краснодарский край 5 - 7 апреля 2019 г.</t>
  </si>
  <si>
    <t>1. Ялышев Александр</t>
  </si>
  <si>
    <t>Юноши 16 - 17 (06.07.2001)/17</t>
  </si>
  <si>
    <t>88,60</t>
  </si>
  <si>
    <t>62,5</t>
  </si>
  <si>
    <t>65,0</t>
  </si>
  <si>
    <t>Ялышев Александр</t>
  </si>
  <si>
    <t>39,8925</t>
  </si>
  <si>
    <t>Чемпионат Восточной Европы по пауэрспорту. Краснодар 6-7 апреля
Одиночный жим штанги стоя Профессионалы
Краснодар/Краснодарский край 5 - 7 апреля 2019 г.</t>
  </si>
  <si>
    <t>Чемпионат Восточной Европы по пауэрспорту. Краснодар 6-7 апреля
Одиночный жим штанги стоя Любители
Краснодар/Краснодарский край 5 - 7 апреля 2019 г.</t>
  </si>
  <si>
    <t>Чемпионат Восточной Европы по НЖ. Краснодар 6-7 апреля
Профессионалы народный жим (1/2 вес)
Краснодар/Краснодарский край 5 - 7 апреля 2019 г.</t>
  </si>
  <si>
    <t>Чемпионат Восточной Европы по НЖ. Краснодар 6-7 апреля
Профессионалы народный жим (1 вес)
Краснодар/Краснодарский край 5 - 7 апреля 2019 г.</t>
  </si>
  <si>
    <t>НАП Н.Ж.</t>
  </si>
  <si>
    <t>ВЕСОВАЯ КАТЕГОРИЯ   125</t>
  </si>
  <si>
    <t>1. Скляр Олег</t>
  </si>
  <si>
    <t>Мастера 50 - 54 (21.06.1966)/52</t>
  </si>
  <si>
    <t>110,80</t>
  </si>
  <si>
    <t>112,5</t>
  </si>
  <si>
    <t>29,0</t>
  </si>
  <si>
    <t xml:space="preserve">НАП Н.Ж. </t>
  </si>
  <si>
    <t>Скляр Олег</t>
  </si>
  <si>
    <t>125</t>
  </si>
  <si>
    <t>3262,5</t>
  </si>
  <si>
    <t>2296,8000</t>
  </si>
  <si>
    <t>Чемпионат Восточной Европы по НЖ. Краснодар 6-7 апреля
Любители народный жим (1/2 вес)
Краснодар/Краснодарский край 5 - 7 апреля 2019 г.</t>
  </si>
  <si>
    <t>Чемпионат Восточной Европы по НЖ. Краснодар 6-7 апреля
Любители народный жим (1 вес)
Краснодар/Краснодарский край 5 - 7 апреля 2019 г.</t>
  </si>
  <si>
    <t>ВЕСОВАЯ КАТЕГОРИЯ   75</t>
  </si>
  <si>
    <t>1. Абрамов Алексей</t>
  </si>
  <si>
    <t>Открытая (25.03.1984)/35</t>
  </si>
  <si>
    <t>74,10</t>
  </si>
  <si>
    <t xml:space="preserve">Russia </t>
  </si>
  <si>
    <t xml:space="preserve">Краснодар </t>
  </si>
  <si>
    <t>75,0</t>
  </si>
  <si>
    <t>36,0</t>
  </si>
  <si>
    <t xml:space="preserve">Самостоятельно </t>
  </si>
  <si>
    <t>1. Филиппов Алексей</t>
  </si>
  <si>
    <t>Мастера 40 - 44 (29.11.1975)/43</t>
  </si>
  <si>
    <t>74,40</t>
  </si>
  <si>
    <t xml:space="preserve">Горячий Ключ/Краснодарский край </t>
  </si>
  <si>
    <t>34,0</t>
  </si>
  <si>
    <t>ВЕСОВАЯ КАТЕГОРИЯ   110</t>
  </si>
  <si>
    <t>1. Алиев Тельман</t>
  </si>
  <si>
    <t>Открытая (04.07.1981)/37</t>
  </si>
  <si>
    <t>110,00</t>
  </si>
  <si>
    <t xml:space="preserve">Горячий Ключ </t>
  </si>
  <si>
    <t>110,0</t>
  </si>
  <si>
    <t>31,0</t>
  </si>
  <si>
    <t xml:space="preserve">Кесаев Э.М. </t>
  </si>
  <si>
    <t>1. Гулян Артур</t>
  </si>
  <si>
    <t>Открытая (23.01.1982)/37</t>
  </si>
  <si>
    <t>121,50</t>
  </si>
  <si>
    <t xml:space="preserve">Light Fit </t>
  </si>
  <si>
    <t>122,5</t>
  </si>
  <si>
    <t>33,0</t>
  </si>
  <si>
    <t xml:space="preserve">Чугунов Евгений </t>
  </si>
  <si>
    <t>Гулян Артур</t>
  </si>
  <si>
    <t>4042,5</t>
  </si>
  <si>
    <t>2595,2851</t>
  </si>
  <si>
    <t>Алиев Тельман</t>
  </si>
  <si>
    <t>110</t>
  </si>
  <si>
    <t>3410,0</t>
  </si>
  <si>
    <t>2184,1050</t>
  </si>
  <si>
    <t>Абрамов Алексей</t>
  </si>
  <si>
    <t>75</t>
  </si>
  <si>
    <t>2700,0</t>
  </si>
  <si>
    <t>2150,8200</t>
  </si>
  <si>
    <t>Филиппов Алексей</t>
  </si>
  <si>
    <t>2550,0</t>
  </si>
  <si>
    <t>2023,1700</t>
  </si>
  <si>
    <t>Чемпионат Восточной Европы по пауэрлифтингу Краснодар 6-7 апреля
Силовое двоеборье профессианалы
Краснодар/Краснодарский край 5 - 7 апреля 2019 г.</t>
  </si>
  <si>
    <t>Чемпионат Восточной Европы по пауэрлифтингу Краснодар 6-7 апреля
Силовое двоеборье любители
Краснодар/Краснодарский край 5 - 7 апреля 2019 г.</t>
  </si>
  <si>
    <t>Жим лёжа</t>
  </si>
  <si>
    <t>Становая тяга</t>
  </si>
  <si>
    <t>ВЕСОВАЯ КАТЕГОРИЯ   82.5</t>
  </si>
  <si>
    <t>1. Новак Денис</t>
  </si>
  <si>
    <t>Открытая (25.05.1990)/28</t>
  </si>
  <si>
    <t>80,90</t>
  </si>
  <si>
    <t xml:space="preserve">Туапсе/Краснодарский край </t>
  </si>
  <si>
    <t>135,0</t>
  </si>
  <si>
    <t>140,0</t>
  </si>
  <si>
    <t>142,5</t>
  </si>
  <si>
    <t>175,0</t>
  </si>
  <si>
    <t>180,0</t>
  </si>
  <si>
    <t>192,5</t>
  </si>
  <si>
    <t>ВЕСОВАЯ КАТЕГОРИЯ   100</t>
  </si>
  <si>
    <t>1. Лозовой Данил</t>
  </si>
  <si>
    <t>Открытая (06.09.1989)/29</t>
  </si>
  <si>
    <t>95,70</t>
  </si>
  <si>
    <t>155,0</t>
  </si>
  <si>
    <t>162,5</t>
  </si>
  <si>
    <t>220,0</t>
  </si>
  <si>
    <t>235,0</t>
  </si>
  <si>
    <t>242,5</t>
  </si>
  <si>
    <t xml:space="preserve">нет </t>
  </si>
  <si>
    <t>Лозовой Данил</t>
  </si>
  <si>
    <t>100</t>
  </si>
  <si>
    <t>397,5</t>
  </si>
  <si>
    <t>224,8657</t>
  </si>
  <si>
    <t>Новак Денис</t>
  </si>
  <si>
    <t>82.5</t>
  </si>
  <si>
    <t>320,0</t>
  </si>
  <si>
    <t>200,9280</t>
  </si>
  <si>
    <t>Чемпионат Восточной Европы по пауэрлифтингу Краснодар 6-7 апреля
ПРО присед в софт экипировке
Краснодар/Краснодарский край 5 - 7 апреля 2019 г.</t>
  </si>
  <si>
    <t>Чемпионат Восточной Европы по пауэрлифтингу Краснодар 6-7 апреля
Любители присед в софт экипировке
Краснодар/Краснодарский край 5 - 7 апреля 2019 г.</t>
  </si>
  <si>
    <t>Чемпионат Восточной Европы по пауэрлифтингу Краснодар 6-7 апреля
ПРО присед без экипировки
Краснодар/Краснодарский край 5 - 7 апреля 2019 г.</t>
  </si>
  <si>
    <t>Приседание</t>
  </si>
  <si>
    <t>1. Таловасов Анатолий</t>
  </si>
  <si>
    <t>Мастера 55 - 59 (01.12.1960)/58</t>
  </si>
  <si>
    <t>109,60</t>
  </si>
  <si>
    <t xml:space="preserve">антал </t>
  </si>
  <si>
    <t xml:space="preserve">П. тульский </t>
  </si>
  <si>
    <t>120,0</t>
  </si>
  <si>
    <t>130,0</t>
  </si>
  <si>
    <t>Таловасов Анатолий</t>
  </si>
  <si>
    <t xml:space="preserve">Мастера 55 - 59 </t>
  </si>
  <si>
    <t>107,1584</t>
  </si>
  <si>
    <t>Чемпионат Восточной Европы по пауэрлифтингу Краснодар 6-7 апреля
Любители присед без экипировки
Краснодар/Краснодарский край 5 - 7 апреля 2019 г.</t>
  </si>
  <si>
    <t>1. Траутвейн Владислав</t>
  </si>
  <si>
    <t>Открытая (03.06.1985)/33</t>
  </si>
  <si>
    <t>93,10</t>
  </si>
  <si>
    <t>Траутвейн Владислав</t>
  </si>
  <si>
    <t>80,3600</t>
  </si>
  <si>
    <t>Чемпионат Восточной Европы по пауэрлифтингу Краснодар 6-7 апреля
ПРО присед в однослойной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</si>
  <si>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присед в однослойной экипировке
Краснодар/Краснодарский край 5 - 7 апреля 2019 г.</t>
  </si>
  <si>
    <t>Чемпионат Восточной Европы по пауэрлифтингу Краснодар 6-7 апреля
ПРО присед в многослойной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</si>
  <si>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присед в многослойной экипировке
Краснодар/Краснодарский край 5 - 7 апреля 2019 г.</t>
  </si>
  <si>
    <t>Чемпионат Восточной Европы по пауэрлифтингу Краснодар 6-7 апреля
ПРО становая тяга в софт экипировке
Краснодар/Краснодарский край 5 - 7 апреля 2019 г.</t>
  </si>
  <si>
    <t>Чемпионат Восточной Европы по пауэрлифтингу Краснодар 6-7 апреля
Любители становая тяга в софт экипировке
Краснодар/Краснодарский край 5 - 7 апреля 2019 г.</t>
  </si>
  <si>
    <t>Чемпионат Восточной Европы по пауэрлифтингу Краснодар 6-7 апреля
ПРО становая тяга без экипировки
Краснодар/Краснодарский край 5 - 7 апреля 2019 г.</t>
  </si>
  <si>
    <t>ВЕСОВАЯ КАТЕГОРИЯ   56</t>
  </si>
  <si>
    <t>1. Царёва Наталья</t>
  </si>
  <si>
    <t>Открытая (16.05.1979)/39</t>
  </si>
  <si>
    <t>56,00</t>
  </si>
  <si>
    <t xml:space="preserve">Погосян </t>
  </si>
  <si>
    <t>ВЕСОВАЯ КАТЕГОРИЯ   67.5</t>
  </si>
  <si>
    <t>1. Данилова Ольга</t>
  </si>
  <si>
    <t>Открытая (12.04.1986)/32</t>
  </si>
  <si>
    <t>61,40</t>
  </si>
  <si>
    <t xml:space="preserve">пгт Тульский[4]/Адыгея </t>
  </si>
  <si>
    <t>90,0</t>
  </si>
  <si>
    <t>100,0</t>
  </si>
  <si>
    <t xml:space="preserve">Таловасов А </t>
  </si>
  <si>
    <t>1. Кондакчян Александр</t>
  </si>
  <si>
    <t>Юноши 14-15 (23.04.2003)/15</t>
  </si>
  <si>
    <t>77,00</t>
  </si>
  <si>
    <t>145,0</t>
  </si>
  <si>
    <t>150,0</t>
  </si>
  <si>
    <t xml:space="preserve">ТАЛОВАСОВ А </t>
  </si>
  <si>
    <t>Открытая (01.12.1960)/58</t>
  </si>
  <si>
    <t>240,0</t>
  </si>
  <si>
    <t>250,0</t>
  </si>
  <si>
    <t>255,0</t>
  </si>
  <si>
    <t>Царёва Наталья</t>
  </si>
  <si>
    <t>56</t>
  </si>
  <si>
    <t>118,6120</t>
  </si>
  <si>
    <t>Данилова Ольга</t>
  </si>
  <si>
    <t>67.5</t>
  </si>
  <si>
    <t>75,9960</t>
  </si>
  <si>
    <t>Кондакчян Александр</t>
  </si>
  <si>
    <t xml:space="preserve">Юноши 14-15 </t>
  </si>
  <si>
    <t>115,2447</t>
  </si>
  <si>
    <t>136,9350</t>
  </si>
  <si>
    <t>210,1952</t>
  </si>
  <si>
    <t>Чемпионат Восточной Европы по пауэрлифтингу Краснодар 6-7 апреля
Любители становая тяга без экипировки
Краснодар/Краснодарский край 5 - 7 апреля 2019 г.</t>
  </si>
  <si>
    <t>ВЕСОВАЯ КАТЕГОРИЯ   48</t>
  </si>
  <si>
    <t>1. Абрамихина Светлана</t>
  </si>
  <si>
    <t>Открытая (14.07.1993)/25</t>
  </si>
  <si>
    <t>48,00</t>
  </si>
  <si>
    <t xml:space="preserve">45,0 </t>
  </si>
  <si>
    <t xml:space="preserve">55,0 </t>
  </si>
  <si>
    <t xml:space="preserve">65,0 </t>
  </si>
  <si>
    <t>1. Чередник Владлена</t>
  </si>
  <si>
    <t>Открытая (20.08.1990)/28</t>
  </si>
  <si>
    <t xml:space="preserve">95,0 </t>
  </si>
  <si>
    <t>107,5</t>
  </si>
  <si>
    <t xml:space="preserve">107,5 </t>
  </si>
  <si>
    <t>ВЕСОВАЯ КАТЕГОРИЯ   60</t>
  </si>
  <si>
    <t>1. Игнатенко Юлия</t>
  </si>
  <si>
    <t>Открытая (17.09.1985)/33</t>
  </si>
  <si>
    <t>58,10</t>
  </si>
  <si>
    <t xml:space="preserve">Славянск-на-Кубани/Краснодарский край </t>
  </si>
  <si>
    <t xml:space="preserve">130,0 </t>
  </si>
  <si>
    <t xml:space="preserve">142,5 </t>
  </si>
  <si>
    <t xml:space="preserve">Шеховцов </t>
  </si>
  <si>
    <t>2. Леганова Оксана</t>
  </si>
  <si>
    <t>Открытая (30.01.1983)/36</t>
  </si>
  <si>
    <t>58,90</t>
  </si>
  <si>
    <t xml:space="preserve">Геленджик/Краснодарский край </t>
  </si>
  <si>
    <t xml:space="preserve">110,0 </t>
  </si>
  <si>
    <t>1. Евтушенко Елена</t>
  </si>
  <si>
    <t>Открытая (15.09.1986)/32</t>
  </si>
  <si>
    <t>64,80</t>
  </si>
  <si>
    <t xml:space="preserve">120,0 </t>
  </si>
  <si>
    <t xml:space="preserve">125,0 </t>
  </si>
  <si>
    <t xml:space="preserve">132,5 </t>
  </si>
  <si>
    <t>2. Буракова Ирина</t>
  </si>
  <si>
    <t>Открытая (01.05.1985)/33</t>
  </si>
  <si>
    <t>66,00</t>
  </si>
  <si>
    <t xml:space="preserve">115,0 </t>
  </si>
  <si>
    <t xml:space="preserve">Сизов А. В. </t>
  </si>
  <si>
    <t>1. Бондаренко Маргарита</t>
  </si>
  <si>
    <t>Открытая (08.07.1978)/40</t>
  </si>
  <si>
    <t>87,70</t>
  </si>
  <si>
    <t>Евтушенко Е.В.</t>
  </si>
  <si>
    <t>1. Конюхов Богдан</t>
  </si>
  <si>
    <t>Юниоры 20 - 23 (09.10.1995)/23</t>
  </si>
  <si>
    <t>71,50</t>
  </si>
  <si>
    <t xml:space="preserve">170,0 </t>
  </si>
  <si>
    <t xml:space="preserve">180,0 </t>
  </si>
  <si>
    <t xml:space="preserve">190,0 </t>
  </si>
  <si>
    <t>1. Читаия Анатолий</t>
  </si>
  <si>
    <t>Юниоры 20 - 23 (05.12.1997)/21</t>
  </si>
  <si>
    <t>82,00</t>
  </si>
  <si>
    <t xml:space="preserve">230,0 </t>
  </si>
  <si>
    <t>1. Кузьмищев Владислав</t>
  </si>
  <si>
    <t>Открытая (18.10.1983)/35</t>
  </si>
  <si>
    <t>81,20</t>
  </si>
  <si>
    <t xml:space="preserve">Алекс фитнес черемушки </t>
  </si>
  <si>
    <t xml:space="preserve">Алчевск/ </t>
  </si>
  <si>
    <t>260,0</t>
  </si>
  <si>
    <t>280,0</t>
  </si>
  <si>
    <t>287,5</t>
  </si>
  <si>
    <t>1. Сокирко Константин</t>
  </si>
  <si>
    <t>Юниоры 20 - 23 (04.01.1999)/20</t>
  </si>
  <si>
    <t>87,90</t>
  </si>
  <si>
    <t xml:space="preserve">200,0 </t>
  </si>
  <si>
    <t>1. Авербух Лев</t>
  </si>
  <si>
    <t>Открытая (30.09.1990)/28</t>
  </si>
  <si>
    <t>88,10</t>
  </si>
  <si>
    <t xml:space="preserve">127,5 </t>
  </si>
  <si>
    <t xml:space="preserve">220,0 </t>
  </si>
  <si>
    <t xml:space="preserve">242,5 </t>
  </si>
  <si>
    <t>1. Крапивка Иван</t>
  </si>
  <si>
    <t>Открытая (13.10.1977)/41</t>
  </si>
  <si>
    <t>109,50</t>
  </si>
  <si>
    <t xml:space="preserve">245,0 </t>
  </si>
  <si>
    <t xml:space="preserve">265,0 </t>
  </si>
  <si>
    <t>277,5</t>
  </si>
  <si>
    <t>2. Барсуков Юрий</t>
  </si>
  <si>
    <t>Открытая (15.12.1979)/39</t>
  </si>
  <si>
    <t>106,70</t>
  </si>
  <si>
    <t>210,0</t>
  </si>
  <si>
    <t>230,0</t>
  </si>
  <si>
    <t>Игнатенко Юлия</t>
  </si>
  <si>
    <t>60</t>
  </si>
  <si>
    <t>126,0341</t>
  </si>
  <si>
    <t>Леганова Оксана</t>
  </si>
  <si>
    <t>113,6720</t>
  </si>
  <si>
    <t>Евтушенко Елена</t>
  </si>
  <si>
    <t>106,9010</t>
  </si>
  <si>
    <t>Буракова Ирина</t>
  </si>
  <si>
    <t>105,2448</t>
  </si>
  <si>
    <t>Чередник Владлена</t>
  </si>
  <si>
    <t>98,0830</t>
  </si>
  <si>
    <t>Бондаренко Маргарита</t>
  </si>
  <si>
    <t>125,0</t>
  </si>
  <si>
    <t>80,4250</t>
  </si>
  <si>
    <t>Абрамихина Светлана</t>
  </si>
  <si>
    <t>48</t>
  </si>
  <si>
    <t>67,2393</t>
  </si>
  <si>
    <t xml:space="preserve">Юниоры </t>
  </si>
  <si>
    <t>Читаия Анатолий</t>
  </si>
  <si>
    <t xml:space="preserve">Юниоры 20 - 23 </t>
  </si>
  <si>
    <t>145,8977</t>
  </si>
  <si>
    <t>Конюхов Богдан</t>
  </si>
  <si>
    <t>190,0</t>
  </si>
  <si>
    <t>131,2140</t>
  </si>
  <si>
    <t>Сокирко Константин</t>
  </si>
  <si>
    <t>200,0</t>
  </si>
  <si>
    <t>122,3434</t>
  </si>
  <si>
    <t>Кузьмищев Владислав</t>
  </si>
  <si>
    <t>175,3360</t>
  </si>
  <si>
    <t>Крапивка Иван</t>
  </si>
  <si>
    <t>265,0</t>
  </si>
  <si>
    <t>142,3315</t>
  </si>
  <si>
    <t>137,1822</t>
  </si>
  <si>
    <t>Барсуков Юрий</t>
  </si>
  <si>
    <t>131,1925</t>
  </si>
  <si>
    <t>Авербух Лев</t>
  </si>
  <si>
    <t>83,0200</t>
  </si>
  <si>
    <t>Чемпионат Восточной Европы по пауэрлифтингу Краснодар 6-7 апреля
ПРО становая тяга в однослойной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</si>
  <si>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становая тяга в однослойной экипировке
Краснодар/Краснодарский край 5 - 7 апреля 2019 г.</t>
  </si>
  <si>
    <t>Чемпионат Восточной Европы по пауэрлифтингу Краснодар 6-7 апреля
ПРО становая тяга в многослойной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</si>
  <si>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становая тяга в многослойной экипировке
Краснодар/Краснодарский край 5 - 7 апреля 2019 г.</t>
  </si>
  <si>
    <t>Чемпионат Восточной Европы по пауэрлифтингу Краснодар 6-7 апреля
ПРО жим лежа в софт экипировке3сл.
Краснодар/Краснодарский край 5 - 7 апреля 2019 г.</t>
  </si>
  <si>
    <t>Чемпионат Восточной Европы по пауэрлифтингу Краснодар 6-7 апреля
ПРО жим лежа в софт экипировке
Краснодар/Краснодарский край 5 - 7 апреля 2019 г.</t>
  </si>
  <si>
    <t>Чемпионат Восточной Европы по пауэрлифтингу Краснодар 6-7 апреля
Любители жим лежа в софт экипировке
Краснодар/Краснодарский край 5 - 7 апреля 2019 г.</t>
  </si>
  <si>
    <t>-. Асланян Руслан</t>
  </si>
  <si>
    <t>Юниоры 20 - 23 (14.10.1995)/23</t>
  </si>
  <si>
    <t>67,50</t>
  </si>
  <si>
    <t>197,5</t>
  </si>
  <si>
    <t xml:space="preserve">210,0 </t>
  </si>
  <si>
    <t xml:space="preserve">240,0 </t>
  </si>
  <si>
    <t>140,4720</t>
  </si>
  <si>
    <t>143,0005</t>
  </si>
  <si>
    <t>Чемпионат Восточной Европы по пауэрлифтингу Краснодар 6-7 апреля
ПРО жим лежа без экипировки
Краснодар/Краснодарский край 5 - 7 апреля 2019 г.</t>
  </si>
  <si>
    <t>1. Курячий Юрий</t>
  </si>
  <si>
    <t>Юниоры 20 - 23 (23.12.1997)/21</t>
  </si>
  <si>
    <t>89,10</t>
  </si>
  <si>
    <t xml:space="preserve">Спартак </t>
  </si>
  <si>
    <t>170,0</t>
  </si>
  <si>
    <t>182,5</t>
  </si>
  <si>
    <t>185,0</t>
  </si>
  <si>
    <t>Открытая (23.12.1997)/21</t>
  </si>
  <si>
    <t>1. Захаров Владимир</t>
  </si>
  <si>
    <t>Мастера 60 - 64 (07.07.1955)/63</t>
  </si>
  <si>
    <t>104,00</t>
  </si>
  <si>
    <t xml:space="preserve">Новороссийск/Краснодарский край </t>
  </si>
  <si>
    <t xml:space="preserve">185,0 </t>
  </si>
  <si>
    <t>46,4420</t>
  </si>
  <si>
    <t>Курячий Юрий</t>
  </si>
  <si>
    <t>111,1254</t>
  </si>
  <si>
    <t>108,9465</t>
  </si>
  <si>
    <t>Захаров Владимир</t>
  </si>
  <si>
    <t xml:space="preserve">Мастера 60 - 64 </t>
  </si>
  <si>
    <t>187,5974</t>
  </si>
  <si>
    <t>Чемпионат Восточной Европы по пауэрлифтингу Краснодар 6-7 апреля
Любители жим лежа без экипировки
Краснодар/Краснодарский край 5 - 7 апреля 2019 г.</t>
  </si>
  <si>
    <t>ВЕСОВАЯ КАТЕГОРИЯ   44</t>
  </si>
  <si>
    <t>1. Михайлова Кристина</t>
  </si>
  <si>
    <t>Открытая (06.12.1987)/31</t>
  </si>
  <si>
    <t>41,00</t>
  </si>
  <si>
    <t xml:space="preserve">47,5 </t>
  </si>
  <si>
    <t>1. Толстова Юлия</t>
  </si>
  <si>
    <t>Открытая (27.11.1988)/30</t>
  </si>
  <si>
    <t xml:space="preserve">Элиста/Калмыкия республика </t>
  </si>
  <si>
    <t>57,5</t>
  </si>
  <si>
    <t xml:space="preserve">Эдвард янкаускас </t>
  </si>
  <si>
    <t>1. Гмыря Надежда</t>
  </si>
  <si>
    <t>Открытая (27.04.1990)/28</t>
  </si>
  <si>
    <t>66,10</t>
  </si>
  <si>
    <t xml:space="preserve">60,0 </t>
  </si>
  <si>
    <t xml:space="preserve">62,5 </t>
  </si>
  <si>
    <t>1. Мугдусова Элла</t>
  </si>
  <si>
    <t>Открытая (08.02.1991)/28</t>
  </si>
  <si>
    <t>68,20</t>
  </si>
  <si>
    <t xml:space="preserve">50,0 </t>
  </si>
  <si>
    <t>52,5</t>
  </si>
  <si>
    <t>1. Лойко Артем</t>
  </si>
  <si>
    <t>Юноши 14-15 (08.04.2003)/15</t>
  </si>
  <si>
    <t>73,40</t>
  </si>
  <si>
    <t xml:space="preserve">Майкоп/Адыгея </t>
  </si>
  <si>
    <t>85,0</t>
  </si>
  <si>
    <t>-. Конюхов Богдан</t>
  </si>
  <si>
    <t xml:space="preserve">150,0 </t>
  </si>
  <si>
    <t>157,5</t>
  </si>
  <si>
    <t xml:space="preserve">135,0 </t>
  </si>
  <si>
    <t xml:space="preserve">145,0 </t>
  </si>
  <si>
    <t>1. Дворкин Леонид</t>
  </si>
  <si>
    <t>Мастера 75 - 79 (23.01.1941)/78</t>
  </si>
  <si>
    <t>74,50</t>
  </si>
  <si>
    <t xml:space="preserve">92,5 </t>
  </si>
  <si>
    <t xml:space="preserve">97,5 </t>
  </si>
  <si>
    <t xml:space="preserve">100,0 </t>
  </si>
  <si>
    <t>1. Луценко Александр</t>
  </si>
  <si>
    <t>Юноши 16 - 17 (28.02.2002)/17</t>
  </si>
  <si>
    <t>80,00</t>
  </si>
  <si>
    <t xml:space="preserve">75,0 </t>
  </si>
  <si>
    <t xml:space="preserve">82,5 </t>
  </si>
  <si>
    <t>87,5</t>
  </si>
  <si>
    <t xml:space="preserve">Авраменко О </t>
  </si>
  <si>
    <t>1. Гусаков Виталий</t>
  </si>
  <si>
    <t>Юноши 18 - 19 (14.11.1999)/19</t>
  </si>
  <si>
    <t>80,50</t>
  </si>
  <si>
    <t xml:space="preserve">Темрюк/Краснодарский край </t>
  </si>
  <si>
    <t>Открытая (14.11.1999)/19</t>
  </si>
  <si>
    <t>1. Малов Николай</t>
  </si>
  <si>
    <t>Мастера 40 - 44 (22.12.1977)/41</t>
  </si>
  <si>
    <t>82,50</t>
  </si>
  <si>
    <t>147,5</t>
  </si>
  <si>
    <t>1. Ковальский Сергей</t>
  </si>
  <si>
    <t>Мастера 45 - 49 (04.06.1971)/47</t>
  </si>
  <si>
    <t>89,90</t>
  </si>
  <si>
    <t xml:space="preserve">90,0 </t>
  </si>
  <si>
    <t xml:space="preserve">Новосадов </t>
  </si>
  <si>
    <t xml:space="preserve">155,0 </t>
  </si>
  <si>
    <t>1. Безвербный Алексей</t>
  </si>
  <si>
    <t>Мастера 45 - 49 (18.03.1973)/46</t>
  </si>
  <si>
    <t xml:space="preserve">157,5 </t>
  </si>
  <si>
    <t xml:space="preserve">165,0 </t>
  </si>
  <si>
    <t>195,0</t>
  </si>
  <si>
    <t>245,0</t>
  </si>
  <si>
    <t>Михайлова Кристина</t>
  </si>
  <si>
    <t>44</t>
  </si>
  <si>
    <t>47,5</t>
  </si>
  <si>
    <t>55,6795</t>
  </si>
  <si>
    <t>Гмыря Надежда</t>
  </si>
  <si>
    <t>51,5645</t>
  </si>
  <si>
    <t>Толстова Юлия</t>
  </si>
  <si>
    <t>47,3495</t>
  </si>
  <si>
    <t>Мугдусова Элла</t>
  </si>
  <si>
    <t>38,6250</t>
  </si>
  <si>
    <t>Гусаков Виталий</t>
  </si>
  <si>
    <t xml:space="preserve">Юноши 18 - 19 </t>
  </si>
  <si>
    <t>95,0191</t>
  </si>
  <si>
    <t>Лойко Артем</t>
  </si>
  <si>
    <t>67,8028</t>
  </si>
  <si>
    <t>Луценко Александр</t>
  </si>
  <si>
    <t>56,3914</t>
  </si>
  <si>
    <t>128,7475</t>
  </si>
  <si>
    <t>100,6200</t>
  </si>
  <si>
    <t>99,2525</t>
  </si>
  <si>
    <t>91,3645</t>
  </si>
  <si>
    <t>87,6835</t>
  </si>
  <si>
    <t>81,9420</t>
  </si>
  <si>
    <t>Дворкин Леонид</t>
  </si>
  <si>
    <t xml:space="preserve">Мастера 75 - 79 </t>
  </si>
  <si>
    <t>139,3448</t>
  </si>
  <si>
    <t>Безвербный Алексей</t>
  </si>
  <si>
    <t xml:space="preserve">Мастера 45 - 49 </t>
  </si>
  <si>
    <t>165,0</t>
  </si>
  <si>
    <t>99,7810</t>
  </si>
  <si>
    <t>98,7068</t>
  </si>
  <si>
    <t>Малов Николай</t>
  </si>
  <si>
    <t>86,9621</t>
  </si>
  <si>
    <t>83,4170</t>
  </si>
  <si>
    <t>Ковальский Сергей</t>
  </si>
  <si>
    <t>115,0</t>
  </si>
  <si>
    <t>73,5522</t>
  </si>
  <si>
    <t>Чемпионат Восточной Европы по пауэрлифтингу Краснодар 6-7 апреля
ПРО жим лежа в однослойной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</si>
  <si>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жим лежа в однослойной экипировке
Краснодар/Краснодарский край 5 - 7 апреля 2019 г.</t>
  </si>
  <si>
    <t>Чемпионат Восточной Европы по пауэрлифтингу Краснодар 6-7 апреля
ПРО жим лежа в многослойной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</si>
  <si>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жим лежа в многослойной экипировке
Краснодар/Краснодарский край 5 - 7 апреля 2019 г.</t>
  </si>
  <si>
    <t>Чемпионат Восточной Европы по пауэрлифтингу Краснодар 6-7 апреля
ПРО военный жим
Краснодар/Краснодарский край 5 - 7 апреля 2019 г.</t>
  </si>
  <si>
    <t>Чемпионат Восточной Европы по пауэрлифтингу Краснодар 6-7 апреля
Любители военный жим
Краснодар/Краснодарский край 5 - 7 апреля 2019 г.</t>
  </si>
  <si>
    <t>83,4053</t>
  </si>
  <si>
    <t>84,9065</t>
  </si>
  <si>
    <t>Чемпионат Восточной Европы по пауэрлифтингу Краснодар 6-7 апреля
ПРО пауэрлифтинг в софт экипировке
Краснодар/Краснодарский край 5 - 7 апреля 2019 г.</t>
  </si>
  <si>
    <t>1. Терещенко Елена</t>
  </si>
  <si>
    <t>Открытая (09.05.1989)/29</t>
  </si>
  <si>
    <t>65,90</t>
  </si>
  <si>
    <t>="295.00 "</t>
  </si>
  <si>
    <t>1. Бойцевский Александр</t>
  </si>
  <si>
    <t>Открытая (30.05.1987)/31</t>
  </si>
  <si>
    <t>108,10</t>
  </si>
  <si>
    <t xml:space="preserve">250,0 </t>
  </si>
  <si>
    <t>="750.00 "</t>
  </si>
  <si>
    <t>Терещенко Елена</t>
  </si>
  <si>
    <t>295,0</t>
  </si>
  <si>
    <t>234,6283</t>
  </si>
  <si>
    <t>Бойцевский Александр</t>
  </si>
  <si>
    <t>750,0</t>
  </si>
  <si>
    <t>404,1750</t>
  </si>
  <si>
    <t>Чемпионат Восточной Европы по пауэрлифтингу Краснодар 6-7 апреля
Любители пауэрлифтинг в софт экипировке
Краснодар/Краснодарский край 5 - 7 апреля 2019 г.</t>
  </si>
  <si>
    <t>Чемпионат Восточной Европы по пауэрлифтингу Краснодар 6-7 апреля
ПРО пауэрлифтинг без экипировки
Краснодар/Краснодарский край 5 - 7 апреля 2019 г.</t>
  </si>
  <si>
    <t>1. Григорьев Владимир</t>
  </si>
  <si>
    <t>Открытая (14.05.1993)/25</t>
  </si>
  <si>
    <t>99,20</t>
  </si>
  <si>
    <t xml:space="preserve">262,5 </t>
  </si>
  <si>
    <t>272,5</t>
  </si>
  <si>
    <t>="640.00 "</t>
  </si>
  <si>
    <t>Григорьев Владимир</t>
  </si>
  <si>
    <t>640,0</t>
  </si>
  <si>
    <t>355,8400</t>
  </si>
  <si>
    <t>Чемпионат Восточной Европы по пауэрлифтингу Краснодар 6-7 апреля
Любители пауэрлифтинг без экипировки
Краснодар/Краснодарский край 5 - 7 апреля 2019 г.</t>
  </si>
  <si>
    <t>ВЕСОВАЯ КАТЕГОРИЯ   52</t>
  </si>
  <si>
    <t>1. Бабакина Юлия</t>
  </si>
  <si>
    <t>Девушки 0-13 (14.10.2005)/13</t>
  </si>
  <si>
    <t>51,20</t>
  </si>
  <si>
    <t xml:space="preserve">52,5 </t>
  </si>
  <si>
    <t xml:space="preserve">35,0 </t>
  </si>
  <si>
    <t xml:space="preserve">37,5 </t>
  </si>
  <si>
    <t xml:space="preserve">40,0 </t>
  </si>
  <si>
    <t>="180.00 "</t>
  </si>
  <si>
    <t>1. Шибаева Ольга</t>
  </si>
  <si>
    <t>Открытая (11.06.1976)/42</t>
  </si>
  <si>
    <t>73,10</t>
  </si>
  <si>
    <t>60,0</t>
  </si>
  <si>
    <t>117,5</t>
  </si>
  <si>
    <t>="282.50 "</t>
  </si>
  <si>
    <t>1. Колчин Руслан</t>
  </si>
  <si>
    <t>Юноши 16 - 17 (03.10.2001)/17</t>
  </si>
  <si>
    <t>62,10</t>
  </si>
  <si>
    <t xml:space="preserve">80,0 </t>
  </si>
  <si>
    <t xml:space="preserve">85,0 </t>
  </si>
  <si>
    <t xml:space="preserve">70,0 </t>
  </si>
  <si>
    <t xml:space="preserve">72,5 </t>
  </si>
  <si>
    <t>105,0</t>
  </si>
  <si>
    <t>1. Попов Константин</t>
  </si>
  <si>
    <t>Открытая (11.01.1991)/28</t>
  </si>
  <si>
    <t>75,00</t>
  </si>
  <si>
    <t xml:space="preserve">122,5 </t>
  </si>
  <si>
    <t xml:space="preserve">197,5 </t>
  </si>
  <si>
    <t>207,5</t>
  </si>
  <si>
    <t>="485.00 "</t>
  </si>
  <si>
    <t>2. Король Ярослав</t>
  </si>
  <si>
    <t>Открытая (15.05.1990)/28</t>
  </si>
  <si>
    <t>71,60</t>
  </si>
  <si>
    <t xml:space="preserve">GELENDGYM </t>
  </si>
  <si>
    <t>95,0</t>
  </si>
  <si>
    <t xml:space="preserve">Лянгузов </t>
  </si>
  <si>
    <t>3. Сметанка Андрей</t>
  </si>
  <si>
    <t>Открытая (18.11.1986)/32</t>
  </si>
  <si>
    <t>73,50</t>
  </si>
  <si>
    <t xml:space="preserve">73,5GELENDGYM </t>
  </si>
  <si>
    <t>137,5</t>
  </si>
  <si>
    <t>152,5</t>
  </si>
  <si>
    <t>92,5</t>
  </si>
  <si>
    <t>102,5</t>
  </si>
  <si>
    <t>4. Самофал Юрий</t>
  </si>
  <si>
    <t>Открытая (05.07.1983)/35</t>
  </si>
  <si>
    <t xml:space="preserve">77,5 </t>
  </si>
  <si>
    <t xml:space="preserve">140,0 </t>
  </si>
  <si>
    <t xml:space="preserve">147,5 </t>
  </si>
  <si>
    <t>="350.00 "</t>
  </si>
  <si>
    <t>1. Лянгузов Дмитрий</t>
  </si>
  <si>
    <t>Открытая (15.11.1988)/30</t>
  </si>
  <si>
    <t>80,40</t>
  </si>
  <si>
    <t xml:space="preserve">Геленджик </t>
  </si>
  <si>
    <t>225,0</t>
  </si>
  <si>
    <t>2. Козлов Александр</t>
  </si>
  <si>
    <t>Открытая (01.07.1983)/35</t>
  </si>
  <si>
    <t>81,50</t>
  </si>
  <si>
    <t xml:space="preserve">202,5 </t>
  </si>
  <si>
    <t xml:space="preserve">215,0 </t>
  </si>
  <si>
    <t xml:space="preserve">225,0 </t>
  </si>
  <si>
    <t>="532.50 "</t>
  </si>
  <si>
    <t>3. Новак Денис</t>
  </si>
  <si>
    <t xml:space="preserve">160,0 </t>
  </si>
  <si>
    <t>167,5</t>
  </si>
  <si>
    <t xml:space="preserve">175,0 </t>
  </si>
  <si>
    <t>4. Панициди Дмитрий</t>
  </si>
  <si>
    <t>Открытая (23.09.1994)/24</t>
  </si>
  <si>
    <t>79,80</t>
  </si>
  <si>
    <t>1. Шпаковский Андрей</t>
  </si>
  <si>
    <t>Мастера 45 - 49 (09.05.1972)/46</t>
  </si>
  <si>
    <t>86,40</t>
  </si>
  <si>
    <t xml:space="preserve">117,5 </t>
  </si>
  <si>
    <t xml:space="preserve">87,5 </t>
  </si>
  <si>
    <t xml:space="preserve">152,5 </t>
  </si>
  <si>
    <t>172,5</t>
  </si>
  <si>
    <t>="385.00 "</t>
  </si>
  <si>
    <t>="400.00 "</t>
  </si>
  <si>
    <t>1. Бабакин Константин</t>
  </si>
  <si>
    <t>Открытая (05.01.1984)/35</t>
  </si>
  <si>
    <t>107,60</t>
  </si>
  <si>
    <t xml:space="preserve">195,0 </t>
  </si>
  <si>
    <t xml:space="preserve">177,5 </t>
  </si>
  <si>
    <t xml:space="preserve">260,0 </t>
  </si>
  <si>
    <t xml:space="preserve">270,0 </t>
  </si>
  <si>
    <t>="670.00 "</t>
  </si>
  <si>
    <t>205,0</t>
  </si>
  <si>
    <t>-. Дронов Артем</t>
  </si>
  <si>
    <t>Открытая (19.09.1991)/27</t>
  </si>
  <si>
    <t>107,10</t>
  </si>
  <si>
    <t>215,0</t>
  </si>
  <si>
    <t xml:space="preserve">Девушки </t>
  </si>
  <si>
    <t>Бабакина Юлия</t>
  </si>
  <si>
    <t xml:space="preserve">Юноши 0-13 </t>
  </si>
  <si>
    <t>52</t>
  </si>
  <si>
    <t>217,3484</t>
  </si>
  <si>
    <t>Шибаева Ольга</t>
  </si>
  <si>
    <t>282,5</t>
  </si>
  <si>
    <t>207,7646</t>
  </si>
  <si>
    <t>Колчин Руслан</t>
  </si>
  <si>
    <t>262,5</t>
  </si>
  <si>
    <t>222,5758</t>
  </si>
  <si>
    <t>Лянгузов Дмитрий</t>
  </si>
  <si>
    <t>585,0</t>
  </si>
  <si>
    <t>368,9595</t>
  </si>
  <si>
    <t>Бабакин Константин</t>
  </si>
  <si>
    <t>670,0</t>
  </si>
  <si>
    <t>361,5320</t>
  </si>
  <si>
    <t>Козлов Александр</t>
  </si>
  <si>
    <t>532,5</t>
  </si>
  <si>
    <t>332,5995</t>
  </si>
  <si>
    <t>Попов Константин</t>
  </si>
  <si>
    <t>485,0</t>
  </si>
  <si>
    <t>322,2825</t>
  </si>
  <si>
    <t>582,5</t>
  </si>
  <si>
    <t>315,1325</t>
  </si>
  <si>
    <t>480,0</t>
  </si>
  <si>
    <t>301,3920</t>
  </si>
  <si>
    <t>Король Ярослав</t>
  </si>
  <si>
    <t>405,0</t>
  </si>
  <si>
    <t>279,3690</t>
  </si>
  <si>
    <t>Панициди Дмитрий</t>
  </si>
  <si>
    <t>435,0</t>
  </si>
  <si>
    <t>275,8335</t>
  </si>
  <si>
    <t>Сметанка Андрей</t>
  </si>
  <si>
    <t>392,5</t>
  </si>
  <si>
    <t>265,0160</t>
  </si>
  <si>
    <t>Самофал Юрий</t>
  </si>
  <si>
    <t>350,0</t>
  </si>
  <si>
    <t>236,6000</t>
  </si>
  <si>
    <t>400,0</t>
  </si>
  <si>
    <t>229,6000</t>
  </si>
  <si>
    <t>Шпаковский Андрей</t>
  </si>
  <si>
    <t>385,0</t>
  </si>
  <si>
    <t>247,1036</t>
  </si>
  <si>
    <t>Чемпионат Восточной Европы по пауэрлифтингу Краснодар 6-7 апреля
ПРО пауэрлифтинг в однослойной экипировке
Краснодар/Краснодарский край 5 - 7 апреля 2019 г.</t>
  </si>
  <si>
    <t>Чемпионат Восточной Европы по пауэрлифтингу Краснодар 6-7 апреля
Любители пауэрлифтинг в однослойной экипировке
Краснодар/Краснодарский край 5 - 7 апреля 2019 г.</t>
  </si>
  <si>
    <t>Чемпионат Восточной Европы по пауэрлифтингу Краснодар 6-7 апреля
ПРО пауэрлифтинг в многослойной экипировке
Краснодар/Краснодарский край 5 - 7 апреля 2019 г.</t>
  </si>
  <si>
    <t>1. Митрофанов Павел</t>
  </si>
  <si>
    <t>Открытая (12.08.1983)/35</t>
  </si>
  <si>
    <t>100,00</t>
  </si>
  <si>
    <t xml:space="preserve">Чемпион </t>
  </si>
  <si>
    <t xml:space="preserve">Горячий ключ </t>
  </si>
  <si>
    <t>330,0</t>
  </si>
  <si>
    <t>360,0</t>
  </si>
  <si>
    <t>380,0</t>
  </si>
  <si>
    <t>290,0</t>
  </si>
  <si>
    <t>270,0</t>
  </si>
  <si>
    <t xml:space="preserve">Сизов андрей </t>
  </si>
  <si>
    <t>Митрофанов Павел</t>
  </si>
  <si>
    <t>960,0</t>
  </si>
  <si>
    <t>531,8400</t>
  </si>
  <si>
    <t>Чемпионат Восточной Европы по пауэрлифтингу Краснодар 6-7 апреля
Любители пауэрлифтинг в многослойной экипировке
Краснодар/Краснодарский край 5 - 7 апреля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</si>
</sst>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2"/>
    </font>
    <font>
      <b/>
      <sz val="2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5.875" style="1" customWidth="1"/>
    <col min="2" max="2" width="27.875" style="1" customWidth="1"/>
    <col min="3" max="3" width="10.00390625" style="1" customWidth="1"/>
    <col min="4" max="4" width="6.625" style="2" customWidth="1"/>
    <col min="5" max="5" width="23.75390625" style="1" customWidth="1"/>
    <col min="6" max="6" width="21.125" style="1" customWidth="1"/>
    <col min="7" max="7" width="5.625" style="3" customWidth="1"/>
    <col min="8" max="8" width="7.00390625" style="3" customWidth="1"/>
    <col min="9" max="9" width="6.25390625" style="3" customWidth="1"/>
    <col min="10" max="10" width="5.625" style="3" customWidth="1"/>
    <col min="11" max="13" width="7.00390625" style="3" customWidth="1"/>
    <col min="14" max="14" width="5.625" style="3" customWidth="1"/>
    <col min="15" max="16" width="7.00390625" style="3" customWidth="1"/>
    <col min="17" max="17" width="6.25390625" style="3" customWidth="1"/>
    <col min="18" max="18" width="5.625" style="3" customWidth="1"/>
    <col min="19" max="19" width="7.875" style="2" customWidth="1"/>
    <col min="20" max="20" width="8.625" style="4" customWidth="1"/>
    <col min="21" max="21" width="23.00390625" style="1" customWidth="1"/>
    <col min="22" max="16384" width="9.125" style="3" customWidth="1"/>
  </cols>
  <sheetData>
    <row r="1" spans="1:21" s="5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5" customFormat="1" ht="66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39" t="s">
        <v>3</v>
      </c>
      <c r="E3" s="44" t="s">
        <v>4</v>
      </c>
      <c r="F3" s="44" t="s">
        <v>5</v>
      </c>
      <c r="G3" s="45" t="s">
        <v>6</v>
      </c>
      <c r="H3" s="45"/>
      <c r="I3" s="45"/>
      <c r="J3" s="45"/>
      <c r="K3" s="45" t="s">
        <v>7</v>
      </c>
      <c r="L3" s="45"/>
      <c r="M3" s="45"/>
      <c r="N3" s="45"/>
      <c r="O3" s="45" t="s">
        <v>8</v>
      </c>
      <c r="P3" s="45"/>
      <c r="Q3" s="45"/>
      <c r="R3" s="45"/>
      <c r="S3" s="39" t="s">
        <v>9</v>
      </c>
      <c r="T3" s="39" t="s">
        <v>10</v>
      </c>
      <c r="U3" s="40" t="s">
        <v>11</v>
      </c>
    </row>
    <row r="4" spans="1:21" s="6" customFormat="1" ht="21" customHeight="1">
      <c r="A4" s="42"/>
      <c r="B4" s="43"/>
      <c r="C4" s="43"/>
      <c r="D4" s="39"/>
      <c r="E4" s="44"/>
      <c r="F4" s="44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0"/>
    </row>
  </sheetData>
  <sheetProtection selectLockedCells="1" selectUnlockedCells="1"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29.75390625" style="1" customWidth="1"/>
    <col min="7" max="7" width="5.875" style="3" customWidth="1"/>
    <col min="8" max="8" width="4.625" style="8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 t="s">
        <v>34</v>
      </c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5" spans="1:10" ht="15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29" t="s">
        <v>81</v>
      </c>
      <c r="B6" s="29" t="s">
        <v>82</v>
      </c>
      <c r="C6" s="29" t="s">
        <v>83</v>
      </c>
      <c r="D6" s="29" t="str">
        <f>"1,0000"</f>
        <v>1,0000</v>
      </c>
      <c r="E6" s="29" t="s">
        <v>39</v>
      </c>
      <c r="F6" s="29" t="s">
        <v>47</v>
      </c>
      <c r="G6" s="30" t="s">
        <v>84</v>
      </c>
      <c r="H6" s="31" t="s">
        <v>85</v>
      </c>
      <c r="I6" s="29" t="str">
        <f>"1295,0"</f>
        <v>1295,0</v>
      </c>
      <c r="J6" s="30" t="str">
        <f>"21,5833"</f>
        <v>21,5833</v>
      </c>
      <c r="K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86</v>
      </c>
      <c r="B17" s="23"/>
    </row>
    <row r="18" spans="1:2" ht="14.25">
      <c r="A18" s="24"/>
      <c r="B18" s="25" t="s">
        <v>72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61</v>
      </c>
    </row>
    <row r="20" spans="1:5" ht="12.75">
      <c r="A20" s="27" t="s">
        <v>87</v>
      </c>
      <c r="B20" s="1" t="s">
        <v>88</v>
      </c>
      <c r="C20" s="1" t="s">
        <v>63</v>
      </c>
      <c r="D20" s="1" t="s">
        <v>89</v>
      </c>
      <c r="E20" s="28" t="s">
        <v>90</v>
      </c>
    </row>
  </sheetData>
  <sheetProtection selectLockedCells="1" selectUnlockedCells="1"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5" width="7.875" style="1" customWidth="1"/>
    <col min="16" max="16" width="6.37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4" t="s">
        <v>9</v>
      </c>
      <c r="P3" s="44" t="s">
        <v>10</v>
      </c>
      <c r="Q3" s="40" t="s">
        <v>11</v>
      </c>
    </row>
    <row r="4" spans="1:17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44"/>
      <c r="P4" s="44"/>
      <c r="Q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2">
    <mergeCell ref="K3:N3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7.7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4.25390625" style="1" customWidth="1"/>
    <col min="7" max="9" width="4.625" style="3" customWidth="1"/>
    <col min="10" max="10" width="4.875" style="3" customWidth="1"/>
    <col min="11" max="13" width="4.625" style="3" customWidth="1"/>
    <col min="14" max="14" width="4.875" style="3" customWidth="1"/>
    <col min="15" max="15" width="7.875" style="1" customWidth="1"/>
    <col min="16" max="16" width="7.62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94</v>
      </c>
      <c r="H3" s="45"/>
      <c r="I3" s="45"/>
      <c r="J3" s="45"/>
      <c r="K3" s="45" t="s">
        <v>95</v>
      </c>
      <c r="L3" s="45"/>
      <c r="M3" s="45"/>
      <c r="N3" s="45"/>
      <c r="O3" s="44" t="s">
        <v>9</v>
      </c>
      <c r="P3" s="44" t="s">
        <v>10</v>
      </c>
      <c r="Q3" s="40" t="s">
        <v>11</v>
      </c>
    </row>
    <row r="4" spans="1:17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44"/>
      <c r="P4" s="44"/>
      <c r="Q4" s="40"/>
    </row>
    <row r="5" spans="1:16" ht="15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2.75">
      <c r="A6" s="29" t="s">
        <v>97</v>
      </c>
      <c r="B6" s="29" t="s">
        <v>98</v>
      </c>
      <c r="C6" s="29" t="s">
        <v>99</v>
      </c>
      <c r="D6" s="29" t="str">
        <f>"0,6022"</f>
        <v>0,6022</v>
      </c>
      <c r="E6" s="29" t="s">
        <v>39</v>
      </c>
      <c r="F6" s="29" t="s">
        <v>100</v>
      </c>
      <c r="G6" s="30" t="s">
        <v>101</v>
      </c>
      <c r="H6" s="30" t="s">
        <v>102</v>
      </c>
      <c r="I6" s="30" t="s">
        <v>103</v>
      </c>
      <c r="J6" s="32"/>
      <c r="K6" s="30" t="s">
        <v>104</v>
      </c>
      <c r="L6" s="32" t="s">
        <v>41</v>
      </c>
      <c r="M6" s="32" t="s">
        <v>41</v>
      </c>
      <c r="N6" s="32"/>
      <c r="O6" s="29" t="str">
        <f>"132,5"</f>
        <v>132,5</v>
      </c>
      <c r="P6" s="30" t="str">
        <f>"86,1748"</f>
        <v>86,1748</v>
      </c>
      <c r="Q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105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107</v>
      </c>
      <c r="B20" s="1" t="s">
        <v>108</v>
      </c>
      <c r="C20" s="1" t="s">
        <v>109</v>
      </c>
      <c r="D20" s="1" t="s">
        <v>110</v>
      </c>
      <c r="E20" s="28" t="s">
        <v>111</v>
      </c>
    </row>
  </sheetData>
  <sheetProtection selectLockedCells="1" selectUnlockedCells="1"/>
  <mergeCells count="13">
    <mergeCell ref="G3:J3"/>
    <mergeCell ref="K3:N3"/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7.7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75390625" style="1" customWidth="1"/>
    <col min="7" max="9" width="4.625" style="3" customWidth="1"/>
    <col min="10" max="10" width="4.875" style="3" customWidth="1"/>
    <col min="11" max="11" width="7.875" style="1" customWidth="1"/>
    <col min="12" max="12" width="7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95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115</v>
      </c>
      <c r="B6" s="29" t="s">
        <v>116</v>
      </c>
      <c r="C6" s="29" t="s">
        <v>117</v>
      </c>
      <c r="D6" s="29" t="str">
        <f>"0,5910"</f>
        <v>0,5910</v>
      </c>
      <c r="E6" s="29" t="s">
        <v>39</v>
      </c>
      <c r="F6" s="29" t="s">
        <v>47</v>
      </c>
      <c r="G6" s="30" t="s">
        <v>104</v>
      </c>
      <c r="H6" s="30" t="s">
        <v>118</v>
      </c>
      <c r="I6" s="32" t="s">
        <v>119</v>
      </c>
      <c r="J6" s="32"/>
      <c r="K6" s="29" t="str">
        <f>"62,5"</f>
        <v>62,5</v>
      </c>
      <c r="L6" s="30" t="str">
        <f>"39,8925"</f>
        <v>39,8925</v>
      </c>
      <c r="M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105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120</v>
      </c>
      <c r="B20" s="1" t="s">
        <v>108</v>
      </c>
      <c r="C20" s="1" t="s">
        <v>109</v>
      </c>
      <c r="D20" s="1" t="s">
        <v>118</v>
      </c>
      <c r="E20" s="28" t="s">
        <v>121</v>
      </c>
    </row>
  </sheetData>
  <sheetProtection selectLockedCells="1" selectUnlockedCells="1"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5" sqref="K5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5.375" style="1" customWidth="1"/>
    <col min="7" max="7" width="5.875" style="3" customWidth="1"/>
    <col min="8" max="8" width="7.753906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5" spans="1:9" s="6" customFormat="1" ht="21" customHeight="1">
      <c r="A5" s="10" t="s">
        <v>18</v>
      </c>
      <c r="B5" s="6" t="s">
        <v>19</v>
      </c>
      <c r="C5" s="6" t="s">
        <v>20</v>
      </c>
      <c r="F5" s="6" t="s">
        <v>21</v>
      </c>
      <c r="G5" s="6" t="s">
        <v>22</v>
      </c>
      <c r="H5" s="11">
        <v>40</v>
      </c>
      <c r="I5" s="6" t="s">
        <v>23</v>
      </c>
    </row>
    <row r="7" ht="15">
      <c r="E7" s="12" t="s">
        <v>24</v>
      </c>
    </row>
    <row r="8" ht="15">
      <c r="E8" s="12" t="s">
        <v>25</v>
      </c>
    </row>
    <row r="9" ht="15">
      <c r="E9" s="12" t="s">
        <v>26</v>
      </c>
    </row>
    <row r="10" ht="15">
      <c r="E10" s="12" t="s">
        <v>27</v>
      </c>
    </row>
    <row r="11" ht="15">
      <c r="E11" s="12" t="s">
        <v>27</v>
      </c>
    </row>
    <row r="12" ht="15">
      <c r="E12" s="12" t="s">
        <v>28</v>
      </c>
    </row>
    <row r="13" ht="15">
      <c r="E13" s="12"/>
    </row>
    <row r="15" spans="1:2" ht="18">
      <c r="A15" s="13" t="s">
        <v>29</v>
      </c>
      <c r="B15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124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10.75390625" style="1" customWidth="1"/>
    <col min="5" max="5" width="22.75390625" style="1" customWidth="1"/>
    <col min="6" max="6" width="29.75390625" style="1" customWidth="1"/>
    <col min="7" max="7" width="6.875" style="3" customWidth="1"/>
    <col min="8" max="8" width="4.625" style="8" customWidth="1"/>
    <col min="9" max="9" width="7.875" style="1" customWidth="1"/>
    <col min="10" max="10" width="9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 t="s">
        <v>126</v>
      </c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5" spans="1:10" ht="15">
      <c r="A5" s="47" t="s">
        <v>127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29" t="s">
        <v>128</v>
      </c>
      <c r="B6" s="29" t="s">
        <v>129</v>
      </c>
      <c r="C6" s="29" t="s">
        <v>130</v>
      </c>
      <c r="D6" s="29" t="str">
        <f>"0,7040"</f>
        <v>0,7040</v>
      </c>
      <c r="E6" s="29" t="s">
        <v>39</v>
      </c>
      <c r="F6" s="29" t="s">
        <v>47</v>
      </c>
      <c r="G6" s="30" t="s">
        <v>131</v>
      </c>
      <c r="H6" s="31" t="s">
        <v>132</v>
      </c>
      <c r="I6" s="29" t="str">
        <f>"3262,5"</f>
        <v>3262,5</v>
      </c>
      <c r="J6" s="30" t="str">
        <f>"2296,8000"</f>
        <v>2296,8000</v>
      </c>
      <c r="K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72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133</v>
      </c>
    </row>
    <row r="20" spans="1:5" ht="12.75">
      <c r="A20" s="27" t="s">
        <v>134</v>
      </c>
      <c r="B20" s="1" t="s">
        <v>88</v>
      </c>
      <c r="C20" s="1" t="s">
        <v>135</v>
      </c>
      <c r="D20" s="1" t="s">
        <v>136</v>
      </c>
      <c r="E20" s="28" t="s">
        <v>137</v>
      </c>
    </row>
  </sheetData>
  <sheetProtection selectLockedCells="1" selectUnlockedCells="1"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10.75390625" style="1" customWidth="1"/>
    <col min="5" max="5" width="22.75390625" style="1" customWidth="1"/>
    <col min="6" max="6" width="32.625" style="1" customWidth="1"/>
    <col min="7" max="7" width="6.875" style="3" customWidth="1"/>
    <col min="8" max="8" width="4.625" style="8" customWidth="1"/>
    <col min="9" max="9" width="7.875" style="1" customWidth="1"/>
    <col min="10" max="10" width="9.625" style="3" customWidth="1"/>
    <col min="11" max="11" width="16.25390625" style="1" customWidth="1"/>
    <col min="12" max="16384" width="9.125" style="3" customWidth="1"/>
  </cols>
  <sheetData>
    <row r="1" spans="1:11" s="5" customFormat="1" ht="28.5" customHeight="1">
      <c r="A1" s="46" t="s">
        <v>139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 t="s">
        <v>126</v>
      </c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5" spans="1:10" ht="15">
      <c r="A5" s="47" t="s">
        <v>140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14" t="s">
        <v>141</v>
      </c>
      <c r="B6" s="14" t="s">
        <v>142</v>
      </c>
      <c r="C6" s="14" t="s">
        <v>143</v>
      </c>
      <c r="D6" s="14" t="str">
        <f>"0,7966"</f>
        <v>0,7966</v>
      </c>
      <c r="E6" s="14" t="s">
        <v>144</v>
      </c>
      <c r="F6" s="14" t="s">
        <v>145</v>
      </c>
      <c r="G6" s="15" t="s">
        <v>146</v>
      </c>
      <c r="H6" s="33" t="s">
        <v>147</v>
      </c>
      <c r="I6" s="14" t="str">
        <f>"2700,0"</f>
        <v>2700,0</v>
      </c>
      <c r="J6" s="15" t="str">
        <f>"2150,8200"</f>
        <v>2150,8200</v>
      </c>
      <c r="K6" s="14" t="s">
        <v>148</v>
      </c>
    </row>
    <row r="7" spans="1:11" ht="12.75">
      <c r="A7" s="20" t="s">
        <v>149</v>
      </c>
      <c r="B7" s="20" t="s">
        <v>150</v>
      </c>
      <c r="C7" s="20" t="s">
        <v>151</v>
      </c>
      <c r="D7" s="20" t="str">
        <f>"0,7934"</f>
        <v>0,7934</v>
      </c>
      <c r="E7" s="20" t="s">
        <v>39</v>
      </c>
      <c r="F7" s="20" t="s">
        <v>152</v>
      </c>
      <c r="G7" s="21" t="s">
        <v>146</v>
      </c>
      <c r="H7" s="34" t="s">
        <v>153</v>
      </c>
      <c r="I7" s="20" t="str">
        <f>"2550,0"</f>
        <v>2550,0</v>
      </c>
      <c r="J7" s="21" t="str">
        <f>"2023,1700"</f>
        <v>2023,1700</v>
      </c>
      <c r="K7" s="20" t="s">
        <v>43</v>
      </c>
    </row>
    <row r="9" spans="1:10" ht="15">
      <c r="A9" s="48" t="s">
        <v>154</v>
      </c>
      <c r="B9" s="48"/>
      <c r="C9" s="48"/>
      <c r="D9" s="48"/>
      <c r="E9" s="48"/>
      <c r="F9" s="48"/>
      <c r="G9" s="48"/>
      <c r="H9" s="48"/>
      <c r="I9" s="48"/>
      <c r="J9" s="48"/>
    </row>
    <row r="10" spans="1:11" ht="12.75">
      <c r="A10" s="29" t="s">
        <v>155</v>
      </c>
      <c r="B10" s="29" t="s">
        <v>156</v>
      </c>
      <c r="C10" s="29" t="s">
        <v>157</v>
      </c>
      <c r="D10" s="29" t="str">
        <f>"0,6405"</f>
        <v>0,6405</v>
      </c>
      <c r="E10" s="29" t="s">
        <v>39</v>
      </c>
      <c r="F10" s="29" t="s">
        <v>158</v>
      </c>
      <c r="G10" s="30" t="s">
        <v>159</v>
      </c>
      <c r="H10" s="31" t="s">
        <v>160</v>
      </c>
      <c r="I10" s="29" t="str">
        <f>"3410,0"</f>
        <v>3410,0</v>
      </c>
      <c r="J10" s="30" t="str">
        <f>"2184,1050"</f>
        <v>2184,1050</v>
      </c>
      <c r="K10" s="29" t="s">
        <v>161</v>
      </c>
    </row>
    <row r="12" spans="1:10" ht="15">
      <c r="A12" s="48" t="s">
        <v>127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 ht="12.75">
      <c r="A13" s="29" t="s">
        <v>162</v>
      </c>
      <c r="B13" s="29" t="s">
        <v>163</v>
      </c>
      <c r="C13" s="29" t="s">
        <v>164</v>
      </c>
      <c r="D13" s="29" t="str">
        <f>"0,6420"</f>
        <v>0,6420</v>
      </c>
      <c r="E13" s="29" t="s">
        <v>165</v>
      </c>
      <c r="F13" s="29" t="s">
        <v>145</v>
      </c>
      <c r="G13" s="30" t="s">
        <v>166</v>
      </c>
      <c r="H13" s="31" t="s">
        <v>167</v>
      </c>
      <c r="I13" s="29" t="str">
        <f>"4042,5"</f>
        <v>4042,5</v>
      </c>
      <c r="J13" s="30" t="str">
        <f>"2595,2851"</f>
        <v>2595,2851</v>
      </c>
      <c r="K13" s="29" t="s">
        <v>168</v>
      </c>
    </row>
    <row r="15" ht="15">
      <c r="E15" s="12" t="s">
        <v>24</v>
      </c>
    </row>
    <row r="16" ht="15">
      <c r="E16" s="12" t="s">
        <v>25</v>
      </c>
    </row>
    <row r="17" ht="15">
      <c r="E17" s="12" t="s">
        <v>26</v>
      </c>
    </row>
    <row r="18" ht="15">
      <c r="E18" s="12" t="s">
        <v>27</v>
      </c>
    </row>
    <row r="19" ht="15">
      <c r="E19" s="12" t="s">
        <v>27</v>
      </c>
    </row>
    <row r="20" ht="15">
      <c r="E20" s="12" t="s">
        <v>28</v>
      </c>
    </row>
    <row r="21" ht="15">
      <c r="E21" s="12"/>
    </row>
    <row r="23" spans="1:2" ht="18">
      <c r="A23" s="13" t="s">
        <v>29</v>
      </c>
      <c r="B23" s="13"/>
    </row>
    <row r="24" spans="1:2" ht="15">
      <c r="A24" s="23" t="s">
        <v>55</v>
      </c>
      <c r="B24" s="23"/>
    </row>
    <row r="25" spans="1:2" ht="14.25">
      <c r="A25" s="24"/>
      <c r="B25" s="25" t="s">
        <v>56</v>
      </c>
    </row>
    <row r="26" spans="1:5" ht="15">
      <c r="A26" s="26" t="s">
        <v>57</v>
      </c>
      <c r="B26" s="26" t="s">
        <v>58</v>
      </c>
      <c r="C26" s="26" t="s">
        <v>59</v>
      </c>
      <c r="D26" s="26" t="s">
        <v>60</v>
      </c>
      <c r="E26" s="26" t="s">
        <v>133</v>
      </c>
    </row>
    <row r="27" spans="1:5" ht="12.75">
      <c r="A27" s="27" t="s">
        <v>169</v>
      </c>
      <c r="B27" s="1" t="s">
        <v>56</v>
      </c>
      <c r="C27" s="1" t="s">
        <v>135</v>
      </c>
      <c r="D27" s="1" t="s">
        <v>170</v>
      </c>
      <c r="E27" s="28" t="s">
        <v>171</v>
      </c>
    </row>
    <row r="28" spans="1:5" ht="12.75">
      <c r="A28" s="27" t="s">
        <v>172</v>
      </c>
      <c r="B28" s="1" t="s">
        <v>56</v>
      </c>
      <c r="C28" s="1" t="s">
        <v>173</v>
      </c>
      <c r="D28" s="1" t="s">
        <v>174</v>
      </c>
      <c r="E28" s="28" t="s">
        <v>175</v>
      </c>
    </row>
    <row r="29" spans="1:5" ht="12.75">
      <c r="A29" s="27" t="s">
        <v>176</v>
      </c>
      <c r="B29" s="1" t="s">
        <v>56</v>
      </c>
      <c r="C29" s="1" t="s">
        <v>177</v>
      </c>
      <c r="D29" s="1" t="s">
        <v>178</v>
      </c>
      <c r="E29" s="28" t="s">
        <v>179</v>
      </c>
    </row>
    <row r="31" spans="1:2" ht="14.25">
      <c r="A31" s="24"/>
      <c r="B31" s="25" t="s">
        <v>72</v>
      </c>
    </row>
    <row r="32" spans="1:5" ht="15">
      <c r="A32" s="26" t="s">
        <v>57</v>
      </c>
      <c r="B32" s="26" t="s">
        <v>58</v>
      </c>
      <c r="C32" s="26" t="s">
        <v>59</v>
      </c>
      <c r="D32" s="26" t="s">
        <v>60</v>
      </c>
      <c r="E32" s="26" t="s">
        <v>133</v>
      </c>
    </row>
    <row r="33" spans="1:5" ht="12.75">
      <c r="A33" s="27" t="s">
        <v>180</v>
      </c>
      <c r="B33" s="1" t="s">
        <v>73</v>
      </c>
      <c r="C33" s="1" t="s">
        <v>177</v>
      </c>
      <c r="D33" s="1" t="s">
        <v>181</v>
      </c>
      <c r="E33" s="28" t="s">
        <v>182</v>
      </c>
    </row>
  </sheetData>
  <sheetProtection selectLockedCells="1" selectUnlockedCells="1"/>
  <mergeCells count="14">
    <mergeCell ref="F3:F4"/>
    <mergeCell ref="G3:H3"/>
    <mergeCell ref="I3:I4"/>
    <mergeCell ref="J3:J4"/>
    <mergeCell ref="K3:K4"/>
    <mergeCell ref="A5:J5"/>
    <mergeCell ref="A9:J9"/>
    <mergeCell ref="A12:J12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5" width="7.875" style="1" customWidth="1"/>
    <col min="16" max="16" width="6.37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6" t="s">
        <v>183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4" t="s">
        <v>9</v>
      </c>
      <c r="P3" s="44" t="s">
        <v>10</v>
      </c>
      <c r="Q3" s="40" t="s">
        <v>11</v>
      </c>
    </row>
    <row r="4" spans="1:17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44"/>
      <c r="P4" s="44"/>
      <c r="Q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2">
    <mergeCell ref="K3:N3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6.25390625" style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5" width="7.875" style="1" customWidth="1"/>
    <col min="16" max="16" width="8.62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6" t="s">
        <v>184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185</v>
      </c>
      <c r="H3" s="45"/>
      <c r="I3" s="45"/>
      <c r="J3" s="45"/>
      <c r="K3" s="45" t="s">
        <v>186</v>
      </c>
      <c r="L3" s="45"/>
      <c r="M3" s="45"/>
      <c r="N3" s="45"/>
      <c r="O3" s="44" t="s">
        <v>9</v>
      </c>
      <c r="P3" s="44" t="s">
        <v>10</v>
      </c>
      <c r="Q3" s="40" t="s">
        <v>11</v>
      </c>
    </row>
    <row r="4" spans="1:17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44"/>
      <c r="P4" s="44"/>
      <c r="Q4" s="40"/>
    </row>
    <row r="5" spans="1:16" ht="15">
      <c r="A5" s="47" t="s">
        <v>187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2.75">
      <c r="A6" s="29" t="s">
        <v>188</v>
      </c>
      <c r="B6" s="29" t="s">
        <v>189</v>
      </c>
      <c r="C6" s="29" t="s">
        <v>190</v>
      </c>
      <c r="D6" s="29" t="str">
        <f>"0,6279"</f>
        <v>0,6279</v>
      </c>
      <c r="E6" s="29" t="s">
        <v>39</v>
      </c>
      <c r="F6" s="29" t="s">
        <v>191</v>
      </c>
      <c r="G6" s="30" t="s">
        <v>192</v>
      </c>
      <c r="H6" s="30" t="s">
        <v>193</v>
      </c>
      <c r="I6" s="32" t="s">
        <v>194</v>
      </c>
      <c r="J6" s="32"/>
      <c r="K6" s="30" t="s">
        <v>195</v>
      </c>
      <c r="L6" s="30" t="s">
        <v>196</v>
      </c>
      <c r="M6" s="32" t="s">
        <v>197</v>
      </c>
      <c r="N6" s="32"/>
      <c r="O6" s="29" t="str">
        <f>"320,0"</f>
        <v>320,0</v>
      </c>
      <c r="P6" s="30" t="str">
        <f>"200,9280"</f>
        <v>200,9280</v>
      </c>
      <c r="Q6" s="29" t="s">
        <v>43</v>
      </c>
    </row>
    <row r="8" spans="1:16" ht="15">
      <c r="A8" s="48" t="s">
        <v>198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2.75">
      <c r="A9" s="29" t="s">
        <v>199</v>
      </c>
      <c r="B9" s="29" t="s">
        <v>200</v>
      </c>
      <c r="C9" s="29" t="s">
        <v>201</v>
      </c>
      <c r="D9" s="29" t="str">
        <f>"0,5657"</f>
        <v>0,5657</v>
      </c>
      <c r="E9" s="29" t="s">
        <v>39</v>
      </c>
      <c r="F9" s="29" t="s">
        <v>145</v>
      </c>
      <c r="G9" s="30" t="s">
        <v>202</v>
      </c>
      <c r="H9" s="32" t="s">
        <v>203</v>
      </c>
      <c r="I9" s="32" t="s">
        <v>203</v>
      </c>
      <c r="J9" s="32"/>
      <c r="K9" s="30" t="s">
        <v>204</v>
      </c>
      <c r="L9" s="30" t="s">
        <v>205</v>
      </c>
      <c r="M9" s="30" t="s">
        <v>206</v>
      </c>
      <c r="N9" s="32"/>
      <c r="O9" s="29" t="str">
        <f>"397,5"</f>
        <v>397,5</v>
      </c>
      <c r="P9" s="30" t="str">
        <f>"224,8657"</f>
        <v>224,8657</v>
      </c>
      <c r="Q9" s="29" t="s">
        <v>207</v>
      </c>
    </row>
    <row r="11" ht="15">
      <c r="E11" s="12" t="s">
        <v>24</v>
      </c>
    </row>
    <row r="12" ht="15">
      <c r="E12" s="12" t="s">
        <v>25</v>
      </c>
    </row>
    <row r="13" ht="15">
      <c r="E13" s="12" t="s">
        <v>26</v>
      </c>
    </row>
    <row r="14" ht="15">
      <c r="E14" s="12" t="s">
        <v>27</v>
      </c>
    </row>
    <row r="15" ht="15">
      <c r="E15" s="12" t="s">
        <v>27</v>
      </c>
    </row>
    <row r="16" ht="15">
      <c r="E16" s="12" t="s">
        <v>28</v>
      </c>
    </row>
    <row r="17" ht="15">
      <c r="E17" s="12"/>
    </row>
    <row r="19" spans="1:2" ht="18">
      <c r="A19" s="13" t="s">
        <v>29</v>
      </c>
      <c r="B19" s="13"/>
    </row>
    <row r="20" spans="1:2" ht="15">
      <c r="A20" s="23" t="s">
        <v>55</v>
      </c>
      <c r="B20" s="23"/>
    </row>
    <row r="21" spans="1:2" ht="14.25">
      <c r="A21" s="24"/>
      <c r="B21" s="25" t="s">
        <v>56</v>
      </c>
    </row>
    <row r="22" spans="1:5" ht="15">
      <c r="A22" s="26" t="s">
        <v>57</v>
      </c>
      <c r="B22" s="26" t="s">
        <v>58</v>
      </c>
      <c r="C22" s="26" t="s">
        <v>59</v>
      </c>
      <c r="D22" s="26" t="s">
        <v>60</v>
      </c>
      <c r="E22" s="26" t="s">
        <v>106</v>
      </c>
    </row>
    <row r="23" spans="1:5" ht="12.75">
      <c r="A23" s="27" t="s">
        <v>208</v>
      </c>
      <c r="B23" s="1" t="s">
        <v>56</v>
      </c>
      <c r="C23" s="1" t="s">
        <v>209</v>
      </c>
      <c r="D23" s="1" t="s">
        <v>210</v>
      </c>
      <c r="E23" s="28" t="s">
        <v>211</v>
      </c>
    </row>
    <row r="24" spans="1:5" ht="12.75">
      <c r="A24" s="27" t="s">
        <v>212</v>
      </c>
      <c r="B24" s="1" t="s">
        <v>56</v>
      </c>
      <c r="C24" s="1" t="s">
        <v>213</v>
      </c>
      <c r="D24" s="1" t="s">
        <v>214</v>
      </c>
      <c r="E24" s="28" t="s">
        <v>215</v>
      </c>
    </row>
  </sheetData>
  <sheetProtection selectLockedCells="1" selectUnlockedCells="1"/>
  <mergeCells count="14">
    <mergeCell ref="F3:F4"/>
    <mergeCell ref="G3:J3"/>
    <mergeCell ref="K3:N3"/>
    <mergeCell ref="O3:O4"/>
    <mergeCell ref="P3:P4"/>
    <mergeCell ref="Q3:Q4"/>
    <mergeCell ref="A5:P5"/>
    <mergeCell ref="A8:P8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9" width="5.625" style="3" customWidth="1"/>
    <col min="10" max="10" width="4.875" style="3" customWidth="1"/>
    <col min="11" max="11" width="7.875" style="1" customWidth="1"/>
    <col min="12" max="12" width="8.625" style="3" customWidth="1"/>
    <col min="13" max="13" width="15.75390625" style="1" customWidth="1"/>
    <col min="14" max="16384" width="9.125" style="3" customWidth="1"/>
  </cols>
  <sheetData>
    <row r="1" spans="1:13" s="5" customFormat="1" ht="28.5" customHeight="1">
      <c r="A1" s="46" t="s">
        <v>218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154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220</v>
      </c>
      <c r="B6" s="29" t="s">
        <v>221</v>
      </c>
      <c r="C6" s="29" t="s">
        <v>222</v>
      </c>
      <c r="D6" s="29" t="str">
        <f>"0,5370"</f>
        <v>0,5370</v>
      </c>
      <c r="E6" s="29" t="s">
        <v>223</v>
      </c>
      <c r="F6" s="29" t="s">
        <v>224</v>
      </c>
      <c r="G6" s="30" t="s">
        <v>159</v>
      </c>
      <c r="H6" s="30" t="s">
        <v>225</v>
      </c>
      <c r="I6" s="30" t="s">
        <v>226</v>
      </c>
      <c r="J6" s="32"/>
      <c r="K6" s="29" t="str">
        <f>"130,0"</f>
        <v>130,0</v>
      </c>
      <c r="L6" s="30" t="str">
        <f>"107,1584"</f>
        <v>107,1584</v>
      </c>
      <c r="M6" s="29" t="s">
        <v>148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72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227</v>
      </c>
      <c r="B20" s="1" t="s">
        <v>228</v>
      </c>
      <c r="C20" s="1" t="s">
        <v>173</v>
      </c>
      <c r="D20" s="1" t="s">
        <v>226</v>
      </c>
      <c r="E20" s="28" t="s">
        <v>229</v>
      </c>
    </row>
  </sheetData>
  <sheetProtection selectLockedCells="1" selectUnlockedCells="1"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4.375" style="1" customWidth="1"/>
    <col min="7" max="9" width="5.625" style="3" customWidth="1"/>
    <col min="10" max="10" width="4.875" style="3" customWidth="1"/>
    <col min="11" max="11" width="7.875" style="1" customWidth="1"/>
    <col min="12" max="12" width="7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198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231</v>
      </c>
      <c r="B6" s="29" t="s">
        <v>232</v>
      </c>
      <c r="C6" s="29" t="s">
        <v>233</v>
      </c>
      <c r="D6" s="29" t="str">
        <f>"0,5740"</f>
        <v>0,5740</v>
      </c>
      <c r="E6" s="29" t="s">
        <v>39</v>
      </c>
      <c r="F6" s="29" t="s">
        <v>40</v>
      </c>
      <c r="G6" s="30" t="s">
        <v>225</v>
      </c>
      <c r="H6" s="32" t="s">
        <v>226</v>
      </c>
      <c r="I6" s="30" t="s">
        <v>193</v>
      </c>
      <c r="J6" s="32"/>
      <c r="K6" s="29" t="str">
        <f>"140,0"</f>
        <v>140,0</v>
      </c>
      <c r="L6" s="30" t="str">
        <f>"80,3600"</f>
        <v>80,3600</v>
      </c>
      <c r="M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56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234</v>
      </c>
      <c r="B20" s="1" t="s">
        <v>56</v>
      </c>
      <c r="C20" s="1" t="s">
        <v>209</v>
      </c>
      <c r="D20" s="1" t="s">
        <v>193</v>
      </c>
      <c r="E20" s="28" t="s">
        <v>235</v>
      </c>
    </row>
  </sheetData>
  <sheetProtection selectLockedCells="1" selectUnlockedCells="1"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241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12" sqref="I12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6.253906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5.75390625" style="1" customWidth="1"/>
    <col min="14" max="16384" width="9.125" style="3" customWidth="1"/>
  </cols>
  <sheetData>
    <row r="1" spans="1:13" s="5" customFormat="1" ht="28.5" customHeight="1">
      <c r="A1" s="46" t="s">
        <v>242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243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244</v>
      </c>
      <c r="B6" s="29" t="s">
        <v>245</v>
      </c>
      <c r="C6" s="29" t="s">
        <v>246</v>
      </c>
      <c r="D6" s="29" t="str">
        <f>"0,9124"</f>
        <v>0,9124</v>
      </c>
      <c r="E6" s="29" t="s">
        <v>39</v>
      </c>
      <c r="F6" s="29" t="s">
        <v>191</v>
      </c>
      <c r="G6" s="30" t="s">
        <v>226</v>
      </c>
      <c r="H6" s="32" t="s">
        <v>193</v>
      </c>
      <c r="I6" s="32"/>
      <c r="J6" s="32"/>
      <c r="K6" s="29" t="str">
        <f>"130,0"</f>
        <v>130,0</v>
      </c>
      <c r="L6" s="30" t="str">
        <f>"118,6120"</f>
        <v>118,6120</v>
      </c>
      <c r="M6" s="29" t="s">
        <v>247</v>
      </c>
    </row>
    <row r="8" spans="1:12" ht="15">
      <c r="A8" s="48" t="s">
        <v>248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29" t="s">
        <v>249</v>
      </c>
      <c r="B9" s="29" t="s">
        <v>250</v>
      </c>
      <c r="C9" s="29" t="s">
        <v>251</v>
      </c>
      <c r="D9" s="29" t="str">
        <f>"0,8444"</f>
        <v>0,8444</v>
      </c>
      <c r="E9" s="29" t="s">
        <v>223</v>
      </c>
      <c r="F9" s="29" t="s">
        <v>252</v>
      </c>
      <c r="G9" s="30" t="s">
        <v>253</v>
      </c>
      <c r="H9" s="32" t="s">
        <v>254</v>
      </c>
      <c r="I9" s="32" t="s">
        <v>254</v>
      </c>
      <c r="J9" s="32"/>
      <c r="K9" s="29" t="str">
        <f>"90,0"</f>
        <v>90,0</v>
      </c>
      <c r="L9" s="30" t="str">
        <f>"75,9960"</f>
        <v>75,9960</v>
      </c>
      <c r="M9" s="29" t="s">
        <v>255</v>
      </c>
    </row>
    <row r="11" spans="1:12" ht="15">
      <c r="A11" s="48" t="s">
        <v>187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29" t="s">
        <v>256</v>
      </c>
      <c r="B12" s="29" t="s">
        <v>257</v>
      </c>
      <c r="C12" s="29" t="s">
        <v>258</v>
      </c>
      <c r="D12" s="29" t="str">
        <f>"0,6511"</f>
        <v>0,6511</v>
      </c>
      <c r="E12" s="29" t="s">
        <v>39</v>
      </c>
      <c r="F12" s="29" t="s">
        <v>252</v>
      </c>
      <c r="G12" s="30" t="s">
        <v>192</v>
      </c>
      <c r="H12" s="30" t="s">
        <v>259</v>
      </c>
      <c r="I12" s="30" t="s">
        <v>260</v>
      </c>
      <c r="J12" s="32"/>
      <c r="K12" s="29" t="str">
        <f>"150,0"</f>
        <v>150,0</v>
      </c>
      <c r="L12" s="30" t="str">
        <f>"115,2447"</f>
        <v>115,2447</v>
      </c>
      <c r="M12" s="29" t="s">
        <v>261</v>
      </c>
    </row>
    <row r="14" spans="1:12" ht="15">
      <c r="A14" s="48" t="s">
        <v>154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4" t="s">
        <v>220</v>
      </c>
      <c r="B15" s="14" t="s">
        <v>262</v>
      </c>
      <c r="C15" s="14" t="s">
        <v>222</v>
      </c>
      <c r="D15" s="14" t="str">
        <f>"0,5370"</f>
        <v>0,5370</v>
      </c>
      <c r="E15" s="14" t="s">
        <v>223</v>
      </c>
      <c r="F15" s="14" t="s">
        <v>224</v>
      </c>
      <c r="G15" s="15" t="s">
        <v>263</v>
      </c>
      <c r="H15" s="15" t="s">
        <v>264</v>
      </c>
      <c r="I15" s="15" t="s">
        <v>265</v>
      </c>
      <c r="J15" s="35"/>
      <c r="K15" s="14" t="str">
        <f>"255,0"</f>
        <v>255,0</v>
      </c>
      <c r="L15" s="15" t="str">
        <f>"136,9350"</f>
        <v>136,9350</v>
      </c>
      <c r="M15" s="14" t="s">
        <v>148</v>
      </c>
    </row>
    <row r="16" spans="1:13" ht="12.75">
      <c r="A16" s="20" t="s">
        <v>220</v>
      </c>
      <c r="B16" s="20" t="s">
        <v>221</v>
      </c>
      <c r="C16" s="20" t="s">
        <v>222</v>
      </c>
      <c r="D16" s="20" t="str">
        <f>"0,5370"</f>
        <v>0,5370</v>
      </c>
      <c r="E16" s="20" t="s">
        <v>223</v>
      </c>
      <c r="F16" s="20" t="s">
        <v>224</v>
      </c>
      <c r="G16" s="21" t="s">
        <v>263</v>
      </c>
      <c r="H16" s="21" t="s">
        <v>264</v>
      </c>
      <c r="I16" s="21" t="s">
        <v>265</v>
      </c>
      <c r="J16" s="36"/>
      <c r="K16" s="20" t="str">
        <f>"255,0"</f>
        <v>255,0</v>
      </c>
      <c r="L16" s="21" t="str">
        <f>"210,1952"</f>
        <v>210,1952</v>
      </c>
      <c r="M16" s="20" t="s">
        <v>148</v>
      </c>
    </row>
    <row r="18" ht="15">
      <c r="E18" s="12" t="s">
        <v>24</v>
      </c>
    </row>
    <row r="19" ht="15">
      <c r="E19" s="12" t="s">
        <v>25</v>
      </c>
    </row>
    <row r="20" ht="15">
      <c r="E20" s="12" t="s">
        <v>26</v>
      </c>
    </row>
    <row r="21" ht="15">
      <c r="E21" s="12" t="s">
        <v>27</v>
      </c>
    </row>
    <row r="22" ht="15">
      <c r="E22" s="12" t="s">
        <v>27</v>
      </c>
    </row>
    <row r="23" ht="15">
      <c r="E23" s="12" t="s">
        <v>28</v>
      </c>
    </row>
    <row r="24" ht="15">
      <c r="E24" s="12"/>
    </row>
    <row r="26" spans="1:2" ht="18">
      <c r="A26" s="13" t="s">
        <v>29</v>
      </c>
      <c r="B26" s="13"/>
    </row>
    <row r="27" spans="1:2" ht="15">
      <c r="A27" s="23" t="s">
        <v>86</v>
      </c>
      <c r="B27" s="23"/>
    </row>
    <row r="28" spans="1:2" ht="14.25">
      <c r="A28" s="24"/>
      <c r="B28" s="25" t="s">
        <v>56</v>
      </c>
    </row>
    <row r="29" spans="1:5" ht="15">
      <c r="A29" s="26" t="s">
        <v>57</v>
      </c>
      <c r="B29" s="26" t="s">
        <v>58</v>
      </c>
      <c r="C29" s="26" t="s">
        <v>59</v>
      </c>
      <c r="D29" s="26" t="s">
        <v>60</v>
      </c>
      <c r="E29" s="26" t="s">
        <v>106</v>
      </c>
    </row>
    <row r="30" spans="1:5" ht="12.75">
      <c r="A30" s="27" t="s">
        <v>266</v>
      </c>
      <c r="B30" s="1" t="s">
        <v>56</v>
      </c>
      <c r="C30" s="1" t="s">
        <v>267</v>
      </c>
      <c r="D30" s="1" t="s">
        <v>226</v>
      </c>
      <c r="E30" s="28" t="s">
        <v>268</v>
      </c>
    </row>
    <row r="31" spans="1:5" ht="12.75">
      <c r="A31" s="27" t="s">
        <v>269</v>
      </c>
      <c r="B31" s="1" t="s">
        <v>56</v>
      </c>
      <c r="C31" s="1" t="s">
        <v>270</v>
      </c>
      <c r="D31" s="1" t="s">
        <v>253</v>
      </c>
      <c r="E31" s="28" t="s">
        <v>271</v>
      </c>
    </row>
    <row r="34" spans="1:2" ht="15">
      <c r="A34" s="23" t="s">
        <v>55</v>
      </c>
      <c r="B34" s="23"/>
    </row>
    <row r="35" spans="1:2" ht="14.25">
      <c r="A35" s="24"/>
      <c r="B35" s="25" t="s">
        <v>105</v>
      </c>
    </row>
    <row r="36" spans="1:5" ht="15">
      <c r="A36" s="26" t="s">
        <v>57</v>
      </c>
      <c r="B36" s="26" t="s">
        <v>58</v>
      </c>
      <c r="C36" s="26" t="s">
        <v>59</v>
      </c>
      <c r="D36" s="26" t="s">
        <v>60</v>
      </c>
      <c r="E36" s="26" t="s">
        <v>106</v>
      </c>
    </row>
    <row r="37" spans="1:5" ht="12.75">
      <c r="A37" s="27" t="s">
        <v>272</v>
      </c>
      <c r="B37" s="1" t="s">
        <v>273</v>
      </c>
      <c r="C37" s="1" t="s">
        <v>213</v>
      </c>
      <c r="D37" s="1" t="s">
        <v>260</v>
      </c>
      <c r="E37" s="28" t="s">
        <v>274</v>
      </c>
    </row>
    <row r="39" spans="1:2" ht="14.25">
      <c r="A39" s="24"/>
      <c r="B39" s="25" t="s">
        <v>56</v>
      </c>
    </row>
    <row r="40" spans="1:5" ht="15">
      <c r="A40" s="26" t="s">
        <v>57</v>
      </c>
      <c r="B40" s="26" t="s">
        <v>58</v>
      </c>
      <c r="C40" s="26" t="s">
        <v>59</v>
      </c>
      <c r="D40" s="26" t="s">
        <v>60</v>
      </c>
      <c r="E40" s="26" t="s">
        <v>106</v>
      </c>
    </row>
    <row r="41" spans="1:5" ht="12.75">
      <c r="A41" s="27" t="s">
        <v>227</v>
      </c>
      <c r="B41" s="1" t="s">
        <v>56</v>
      </c>
      <c r="C41" s="1" t="s">
        <v>173</v>
      </c>
      <c r="D41" s="1" t="s">
        <v>265</v>
      </c>
      <c r="E41" s="28" t="s">
        <v>275</v>
      </c>
    </row>
    <row r="43" spans="1:2" ht="14.25">
      <c r="A43" s="24"/>
      <c r="B43" s="25" t="s">
        <v>72</v>
      </c>
    </row>
    <row r="44" spans="1:5" ht="15">
      <c r="A44" s="26" t="s">
        <v>57</v>
      </c>
      <c r="B44" s="26" t="s">
        <v>58</v>
      </c>
      <c r="C44" s="26" t="s">
        <v>59</v>
      </c>
      <c r="D44" s="26" t="s">
        <v>60</v>
      </c>
      <c r="E44" s="26" t="s">
        <v>106</v>
      </c>
    </row>
    <row r="45" spans="1:5" ht="12.75">
      <c r="A45" s="27" t="s">
        <v>227</v>
      </c>
      <c r="B45" s="1" t="s">
        <v>228</v>
      </c>
      <c r="C45" s="1" t="s">
        <v>173</v>
      </c>
      <c r="D45" s="1" t="s">
        <v>265</v>
      </c>
      <c r="E45" s="28" t="s">
        <v>276</v>
      </c>
    </row>
  </sheetData>
  <sheetProtection selectLockedCells="1" selectUnlockedCells="1"/>
  <mergeCells count="15"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:M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M16" sqref="M16"/>
    </sheetView>
  </sheetViews>
  <sheetFormatPr defaultColWidth="9.125" defaultRowHeight="12.75"/>
  <cols>
    <col min="1" max="1" width="26.00390625" style="1" customWidth="1"/>
    <col min="2" max="2" width="28.375" style="1" customWidth="1"/>
    <col min="3" max="3" width="10.625" style="1" customWidth="1"/>
    <col min="4" max="4" width="9.25390625" style="1" customWidth="1"/>
    <col min="5" max="5" width="24.00390625" style="1" customWidth="1"/>
    <col min="6" max="6" width="38.1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6.625" style="1" customWidth="1"/>
    <col min="14" max="16384" width="9.125" style="3" customWidth="1"/>
  </cols>
  <sheetData>
    <row r="1" spans="1:13" s="5" customFormat="1" ht="28.5" customHeight="1">
      <c r="A1" s="46" t="s">
        <v>277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186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278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279</v>
      </c>
      <c r="B6" s="29" t="s">
        <v>280</v>
      </c>
      <c r="C6" s="29" t="s">
        <v>281</v>
      </c>
      <c r="D6" s="29" t="str">
        <f>"1,0345"</f>
        <v>1,0345</v>
      </c>
      <c r="E6" s="29" t="s">
        <v>39</v>
      </c>
      <c r="F6" s="29" t="s">
        <v>47</v>
      </c>
      <c r="G6" s="30" t="s">
        <v>282</v>
      </c>
      <c r="H6" s="30" t="s">
        <v>283</v>
      </c>
      <c r="I6" s="30" t="s">
        <v>284</v>
      </c>
      <c r="J6" s="32"/>
      <c r="K6" s="29" t="str">
        <f>"65,0"</f>
        <v>65,0</v>
      </c>
      <c r="L6" s="30" t="str">
        <f>"67,2393"</f>
        <v>67,2393</v>
      </c>
      <c r="M6" s="29" t="s">
        <v>43</v>
      </c>
    </row>
    <row r="8" spans="1:12" ht="15">
      <c r="A8" s="48" t="s">
        <v>243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29" t="s">
        <v>285</v>
      </c>
      <c r="B9" s="29" t="s">
        <v>286</v>
      </c>
      <c r="C9" s="29" t="s">
        <v>246</v>
      </c>
      <c r="D9" s="29" t="str">
        <f>"0,9124"</f>
        <v>0,9124</v>
      </c>
      <c r="E9" s="29" t="s">
        <v>39</v>
      </c>
      <c r="F9" s="29" t="s">
        <v>47</v>
      </c>
      <c r="G9" s="30" t="s">
        <v>287</v>
      </c>
      <c r="H9" s="32" t="s">
        <v>288</v>
      </c>
      <c r="I9" s="30" t="s">
        <v>289</v>
      </c>
      <c r="J9" s="32"/>
      <c r="K9" s="29" t="str">
        <f>"107,5"</f>
        <v>107,5</v>
      </c>
      <c r="L9" s="30" t="str">
        <f>"98,0830"</f>
        <v>98,0830</v>
      </c>
      <c r="M9" s="29" t="s">
        <v>43</v>
      </c>
    </row>
    <row r="11" spans="1:12" ht="15">
      <c r="A11" s="48" t="s">
        <v>290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4" t="s">
        <v>291</v>
      </c>
      <c r="B12" s="14" t="s">
        <v>292</v>
      </c>
      <c r="C12" s="14" t="s">
        <v>293</v>
      </c>
      <c r="D12" s="14" t="str">
        <f>"0,8845"</f>
        <v>0,8845</v>
      </c>
      <c r="E12" s="14" t="s">
        <v>39</v>
      </c>
      <c r="F12" s="14" t="s">
        <v>294</v>
      </c>
      <c r="G12" s="15" t="s">
        <v>295</v>
      </c>
      <c r="H12" s="15" t="s">
        <v>296</v>
      </c>
      <c r="I12" s="35" t="s">
        <v>260</v>
      </c>
      <c r="J12" s="35"/>
      <c r="K12" s="14" t="str">
        <f>"142,5"</f>
        <v>142,5</v>
      </c>
      <c r="L12" s="15" t="str">
        <f>"126,0341"</f>
        <v>126,0341</v>
      </c>
      <c r="M12" s="14" t="s">
        <v>297</v>
      </c>
    </row>
    <row r="13" spans="1:13" ht="12.75">
      <c r="A13" s="20" t="s">
        <v>298</v>
      </c>
      <c r="B13" s="20" t="s">
        <v>299</v>
      </c>
      <c r="C13" s="20" t="s">
        <v>300</v>
      </c>
      <c r="D13" s="20" t="str">
        <f>"0,8744"</f>
        <v>0,8744</v>
      </c>
      <c r="E13" s="20" t="s">
        <v>39</v>
      </c>
      <c r="F13" s="20" t="s">
        <v>301</v>
      </c>
      <c r="G13" s="21" t="s">
        <v>302</v>
      </c>
      <c r="H13" s="21" t="s">
        <v>225</v>
      </c>
      <c r="I13" s="21" t="s">
        <v>226</v>
      </c>
      <c r="J13" s="36"/>
      <c r="K13" s="20" t="str">
        <f>"130,0"</f>
        <v>130,0</v>
      </c>
      <c r="L13" s="21" t="str">
        <f>"113,6720"</f>
        <v>113,6720</v>
      </c>
      <c r="M13" s="20" t="s">
        <v>43</v>
      </c>
    </row>
    <row r="15" spans="1:12" ht="15">
      <c r="A15" s="48" t="s">
        <v>248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 ht="12.75">
      <c r="A16" s="14" t="s">
        <v>303</v>
      </c>
      <c r="B16" s="14" t="s">
        <v>304</v>
      </c>
      <c r="C16" s="14" t="s">
        <v>305</v>
      </c>
      <c r="D16" s="14" t="str">
        <f>"0,8068"</f>
        <v>0,8068</v>
      </c>
      <c r="E16" s="14" t="s">
        <v>39</v>
      </c>
      <c r="F16" s="14" t="s">
        <v>47</v>
      </c>
      <c r="G16" s="15" t="s">
        <v>306</v>
      </c>
      <c r="H16" s="15" t="s">
        <v>307</v>
      </c>
      <c r="I16" s="15" t="s">
        <v>308</v>
      </c>
      <c r="J16" s="35"/>
      <c r="K16" s="14" t="str">
        <f>"132,5"</f>
        <v>132,5</v>
      </c>
      <c r="L16" s="15" t="str">
        <f>"106,9010"</f>
        <v>106,9010</v>
      </c>
      <c r="M16" s="37" t="s">
        <v>148</v>
      </c>
    </row>
    <row r="17" spans="1:13" ht="12.75">
      <c r="A17" s="20" t="s">
        <v>309</v>
      </c>
      <c r="B17" s="20" t="s">
        <v>310</v>
      </c>
      <c r="C17" s="20" t="s">
        <v>311</v>
      </c>
      <c r="D17" s="20" t="str">
        <f>"0,7943"</f>
        <v>0,7943</v>
      </c>
      <c r="E17" s="20" t="s">
        <v>144</v>
      </c>
      <c r="F17" s="20" t="s">
        <v>145</v>
      </c>
      <c r="G17" s="21" t="s">
        <v>312</v>
      </c>
      <c r="H17" s="21" t="s">
        <v>307</v>
      </c>
      <c r="I17" s="21" t="s">
        <v>308</v>
      </c>
      <c r="J17" s="36"/>
      <c r="K17" s="20" t="str">
        <f>"132,5"</f>
        <v>132,5</v>
      </c>
      <c r="L17" s="21" t="str">
        <f>"105,2448"</f>
        <v>105,2448</v>
      </c>
      <c r="M17" s="20" t="s">
        <v>313</v>
      </c>
    </row>
    <row r="19" spans="1:12" ht="15">
      <c r="A19" s="48" t="s">
        <v>96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3" ht="12.75">
      <c r="A20" s="29" t="s">
        <v>314</v>
      </c>
      <c r="B20" s="29" t="s">
        <v>315</v>
      </c>
      <c r="C20" s="29" t="s">
        <v>316</v>
      </c>
      <c r="D20" s="29" t="str">
        <f>"0,6434"</f>
        <v>0,6434</v>
      </c>
      <c r="E20" s="29" t="s">
        <v>39</v>
      </c>
      <c r="F20" s="29" t="s">
        <v>47</v>
      </c>
      <c r="G20" s="30" t="s">
        <v>312</v>
      </c>
      <c r="H20" s="30" t="s">
        <v>306</v>
      </c>
      <c r="I20" s="30" t="s">
        <v>307</v>
      </c>
      <c r="J20" s="32"/>
      <c r="K20" s="29" t="str">
        <f>"125,0"</f>
        <v>125,0</v>
      </c>
      <c r="L20" s="30" t="str">
        <f>"80,4250"</f>
        <v>80,4250</v>
      </c>
      <c r="M20" s="29" t="s">
        <v>317</v>
      </c>
    </row>
    <row r="22" spans="1:12" ht="15">
      <c r="A22" s="48" t="s">
        <v>140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3" ht="12.75">
      <c r="A23" s="29" t="s">
        <v>318</v>
      </c>
      <c r="B23" s="29" t="s">
        <v>319</v>
      </c>
      <c r="C23" s="29" t="s">
        <v>320</v>
      </c>
      <c r="D23" s="29" t="str">
        <f>"0,6906"</f>
        <v>0,6906</v>
      </c>
      <c r="E23" s="29" t="s">
        <v>39</v>
      </c>
      <c r="F23" s="29" t="s">
        <v>152</v>
      </c>
      <c r="G23" s="30" t="s">
        <v>321</v>
      </c>
      <c r="H23" s="30" t="s">
        <v>322</v>
      </c>
      <c r="I23" s="30" t="s">
        <v>323</v>
      </c>
      <c r="J23" s="32"/>
      <c r="K23" s="29" t="str">
        <f>"190,0"</f>
        <v>190,0</v>
      </c>
      <c r="L23" s="30" t="str">
        <f>"131,2140"</f>
        <v>131,2140</v>
      </c>
      <c r="M23" s="29" t="s">
        <v>43</v>
      </c>
    </row>
    <row r="25" spans="1:12" ht="15">
      <c r="A25" s="48" t="s">
        <v>187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ht="12.75">
      <c r="A26" s="14" t="s">
        <v>324</v>
      </c>
      <c r="B26" s="14" t="s">
        <v>325</v>
      </c>
      <c r="C26" s="14" t="s">
        <v>326</v>
      </c>
      <c r="D26" s="14" t="str">
        <f>"0,6219"</f>
        <v>0,6219</v>
      </c>
      <c r="E26" s="14" t="s">
        <v>39</v>
      </c>
      <c r="F26" s="14" t="s">
        <v>47</v>
      </c>
      <c r="G26" s="15" t="s">
        <v>327</v>
      </c>
      <c r="H26" s="35" t="s">
        <v>263</v>
      </c>
      <c r="I26" s="35" t="s">
        <v>263</v>
      </c>
      <c r="J26" s="35"/>
      <c r="K26" s="14" t="str">
        <f>"230,0"</f>
        <v>230,0</v>
      </c>
      <c r="L26" s="15" t="str">
        <f>"145,8977"</f>
        <v>145,8977</v>
      </c>
      <c r="M26" s="14" t="s">
        <v>43</v>
      </c>
    </row>
    <row r="27" spans="1:13" ht="12.75">
      <c r="A27" s="20" t="s">
        <v>328</v>
      </c>
      <c r="B27" s="20" t="s">
        <v>329</v>
      </c>
      <c r="C27" s="20" t="s">
        <v>330</v>
      </c>
      <c r="D27" s="20" t="str">
        <f>"0,6262"</f>
        <v>0,6262</v>
      </c>
      <c r="E27" s="20" t="s">
        <v>331</v>
      </c>
      <c r="F27" s="20" t="s">
        <v>332</v>
      </c>
      <c r="G27" s="21" t="s">
        <v>333</v>
      </c>
      <c r="H27" s="21" t="s">
        <v>334</v>
      </c>
      <c r="I27" s="36" t="s">
        <v>335</v>
      </c>
      <c r="J27" s="36"/>
      <c r="K27" s="20" t="str">
        <f>"280,0"</f>
        <v>280,0</v>
      </c>
      <c r="L27" s="21" t="str">
        <f>"175,3360"</f>
        <v>175,3360</v>
      </c>
      <c r="M27" s="20" t="s">
        <v>43</v>
      </c>
    </row>
    <row r="29" spans="1:12" ht="15">
      <c r="A29" s="48" t="s">
        <v>96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14" t="s">
        <v>336</v>
      </c>
      <c r="B30" s="14" t="s">
        <v>337</v>
      </c>
      <c r="C30" s="14" t="s">
        <v>338</v>
      </c>
      <c r="D30" s="14" t="str">
        <f>"0,5939"</f>
        <v>0,5939</v>
      </c>
      <c r="E30" s="14" t="s">
        <v>39</v>
      </c>
      <c r="F30" s="14" t="s">
        <v>47</v>
      </c>
      <c r="G30" s="15" t="s">
        <v>322</v>
      </c>
      <c r="H30" s="15" t="s">
        <v>323</v>
      </c>
      <c r="I30" s="15" t="s">
        <v>339</v>
      </c>
      <c r="J30" s="35"/>
      <c r="K30" s="14" t="str">
        <f>"200,0"</f>
        <v>200,0</v>
      </c>
      <c r="L30" s="15" t="str">
        <f>"122,3434"</f>
        <v>122,3434</v>
      </c>
      <c r="M30" s="14" t="s">
        <v>43</v>
      </c>
    </row>
    <row r="31" spans="1:13" ht="12.75">
      <c r="A31" s="20" t="s">
        <v>340</v>
      </c>
      <c r="B31" s="20" t="s">
        <v>341</v>
      </c>
      <c r="C31" s="20" t="s">
        <v>342</v>
      </c>
      <c r="D31" s="20" t="str">
        <f>"0,5930"</f>
        <v>0,5930</v>
      </c>
      <c r="E31" s="20" t="s">
        <v>39</v>
      </c>
      <c r="F31" s="20" t="s">
        <v>47</v>
      </c>
      <c r="G31" s="21" t="s">
        <v>343</v>
      </c>
      <c r="H31" s="21" t="s">
        <v>192</v>
      </c>
      <c r="I31" s="21" t="s">
        <v>193</v>
      </c>
      <c r="J31" s="36"/>
      <c r="K31" s="20" t="str">
        <f>"140,0"</f>
        <v>140,0</v>
      </c>
      <c r="L31" s="21" t="str">
        <f>"83,0200"</f>
        <v>83,0200</v>
      </c>
      <c r="M31" s="20" t="s">
        <v>43</v>
      </c>
    </row>
    <row r="33" spans="1:12" ht="15">
      <c r="A33" s="48" t="s">
        <v>198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ht="12.75">
      <c r="A34" s="29" t="s">
        <v>199</v>
      </c>
      <c r="B34" s="29" t="s">
        <v>200</v>
      </c>
      <c r="C34" s="29" t="s">
        <v>201</v>
      </c>
      <c r="D34" s="29" t="str">
        <f>"0,5657"</f>
        <v>0,5657</v>
      </c>
      <c r="E34" s="29" t="s">
        <v>39</v>
      </c>
      <c r="F34" s="29" t="s">
        <v>145</v>
      </c>
      <c r="G34" s="30" t="s">
        <v>344</v>
      </c>
      <c r="H34" s="30" t="s">
        <v>205</v>
      </c>
      <c r="I34" s="30" t="s">
        <v>345</v>
      </c>
      <c r="J34" s="32"/>
      <c r="K34" s="29" t="str">
        <f>"242,5"</f>
        <v>242,5</v>
      </c>
      <c r="L34" s="30" t="str">
        <f>"137,1822"</f>
        <v>137,1822</v>
      </c>
      <c r="M34" s="29" t="s">
        <v>207</v>
      </c>
    </row>
    <row r="36" spans="1:12" ht="15">
      <c r="A36" s="48" t="s">
        <v>154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3" ht="12.75">
      <c r="A37" s="14" t="s">
        <v>346</v>
      </c>
      <c r="B37" s="14" t="s">
        <v>347</v>
      </c>
      <c r="C37" s="14" t="s">
        <v>348</v>
      </c>
      <c r="D37" s="14" t="str">
        <f>"0,5371"</f>
        <v>0,5371</v>
      </c>
      <c r="E37" s="14" t="s">
        <v>39</v>
      </c>
      <c r="F37" s="14" t="s">
        <v>47</v>
      </c>
      <c r="G37" s="15" t="s">
        <v>349</v>
      </c>
      <c r="H37" s="15" t="s">
        <v>350</v>
      </c>
      <c r="I37" s="35" t="s">
        <v>351</v>
      </c>
      <c r="J37" s="35"/>
      <c r="K37" s="14" t="str">
        <f>"265,0"</f>
        <v>265,0</v>
      </c>
      <c r="L37" s="15" t="str">
        <f>"142,3315"</f>
        <v>142,3315</v>
      </c>
      <c r="M37" s="14" t="s">
        <v>43</v>
      </c>
    </row>
    <row r="38" spans="1:13" ht="12.75">
      <c r="A38" s="20" t="s">
        <v>352</v>
      </c>
      <c r="B38" s="20" t="s">
        <v>353</v>
      </c>
      <c r="C38" s="20" t="s">
        <v>354</v>
      </c>
      <c r="D38" s="20" t="str">
        <f>"0,5410"</f>
        <v>0,5410</v>
      </c>
      <c r="E38" s="20" t="s">
        <v>39</v>
      </c>
      <c r="F38" s="20" t="s">
        <v>301</v>
      </c>
      <c r="G38" s="21" t="s">
        <v>355</v>
      </c>
      <c r="H38" s="21" t="s">
        <v>356</v>
      </c>
      <c r="I38" s="21" t="s">
        <v>206</v>
      </c>
      <c r="J38" s="36"/>
      <c r="K38" s="20" t="str">
        <f>"242,5"</f>
        <v>242,5</v>
      </c>
      <c r="L38" s="21" t="str">
        <f>"131,1925"</f>
        <v>131,1925</v>
      </c>
      <c r="M38" s="20" t="s">
        <v>43</v>
      </c>
    </row>
    <row r="40" ht="15">
      <c r="E40" s="12" t="s">
        <v>24</v>
      </c>
    </row>
    <row r="41" ht="15">
      <c r="E41" s="12" t="s">
        <v>25</v>
      </c>
    </row>
    <row r="42" ht="15">
      <c r="E42" s="12" t="s">
        <v>26</v>
      </c>
    </row>
    <row r="43" ht="15">
      <c r="E43" s="12" t="s">
        <v>27</v>
      </c>
    </row>
    <row r="44" ht="15">
      <c r="E44" s="12" t="s">
        <v>27</v>
      </c>
    </row>
    <row r="45" ht="15">
      <c r="E45" s="12" t="s">
        <v>28</v>
      </c>
    </row>
    <row r="46" ht="15">
      <c r="E46" s="12"/>
    </row>
    <row r="48" spans="1:2" ht="18">
      <c r="A48" s="13" t="s">
        <v>29</v>
      </c>
      <c r="B48" s="13"/>
    </row>
    <row r="49" spans="1:2" ht="15">
      <c r="A49" s="23" t="s">
        <v>86</v>
      </c>
      <c r="B49" s="23"/>
    </row>
    <row r="50" spans="1:2" ht="14.25">
      <c r="A50" s="24"/>
      <c r="B50" s="25" t="s">
        <v>56</v>
      </c>
    </row>
    <row r="51" spans="1:5" ht="15">
      <c r="A51" s="26" t="s">
        <v>57</v>
      </c>
      <c r="B51" s="26" t="s">
        <v>58</v>
      </c>
      <c r="C51" s="26" t="s">
        <v>59</v>
      </c>
      <c r="D51" s="26" t="s">
        <v>60</v>
      </c>
      <c r="E51" s="26" t="s">
        <v>106</v>
      </c>
    </row>
    <row r="52" spans="1:5" ht="12.75">
      <c r="A52" s="27" t="s">
        <v>357</v>
      </c>
      <c r="B52" s="1" t="s">
        <v>56</v>
      </c>
      <c r="C52" s="1" t="s">
        <v>358</v>
      </c>
      <c r="D52" s="1" t="s">
        <v>194</v>
      </c>
      <c r="E52" s="28" t="s">
        <v>359</v>
      </c>
    </row>
    <row r="53" spans="1:5" ht="12.75">
      <c r="A53" s="27" t="s">
        <v>360</v>
      </c>
      <c r="B53" s="1" t="s">
        <v>56</v>
      </c>
      <c r="C53" s="1" t="s">
        <v>358</v>
      </c>
      <c r="D53" s="1" t="s">
        <v>226</v>
      </c>
      <c r="E53" s="28" t="s">
        <v>361</v>
      </c>
    </row>
    <row r="54" spans="1:5" ht="12.75">
      <c r="A54" s="27" t="s">
        <v>362</v>
      </c>
      <c r="B54" s="1" t="s">
        <v>56</v>
      </c>
      <c r="C54" s="1" t="s">
        <v>270</v>
      </c>
      <c r="D54" s="1" t="s">
        <v>110</v>
      </c>
      <c r="E54" s="28" t="s">
        <v>363</v>
      </c>
    </row>
    <row r="55" spans="1:5" ht="12.75">
      <c r="A55" s="27" t="s">
        <v>364</v>
      </c>
      <c r="B55" s="1" t="s">
        <v>56</v>
      </c>
      <c r="C55" s="1" t="s">
        <v>270</v>
      </c>
      <c r="D55" s="1" t="s">
        <v>110</v>
      </c>
      <c r="E55" s="28" t="s">
        <v>365</v>
      </c>
    </row>
    <row r="56" spans="1:5" ht="12.75">
      <c r="A56" s="27" t="s">
        <v>366</v>
      </c>
      <c r="B56" s="1" t="s">
        <v>56</v>
      </c>
      <c r="C56" s="1" t="s">
        <v>267</v>
      </c>
      <c r="D56" s="1" t="s">
        <v>288</v>
      </c>
      <c r="E56" s="28" t="s">
        <v>367</v>
      </c>
    </row>
    <row r="57" spans="1:5" ht="12.75">
      <c r="A57" s="27" t="s">
        <v>368</v>
      </c>
      <c r="B57" s="1" t="s">
        <v>56</v>
      </c>
      <c r="C57" s="1" t="s">
        <v>109</v>
      </c>
      <c r="D57" s="1" t="s">
        <v>369</v>
      </c>
      <c r="E57" s="28" t="s">
        <v>370</v>
      </c>
    </row>
    <row r="58" spans="1:5" ht="12.75">
      <c r="A58" s="27" t="s">
        <v>371</v>
      </c>
      <c r="B58" s="1" t="s">
        <v>56</v>
      </c>
      <c r="C58" s="1" t="s">
        <v>372</v>
      </c>
      <c r="D58" s="1" t="s">
        <v>119</v>
      </c>
      <c r="E58" s="28" t="s">
        <v>373</v>
      </c>
    </row>
    <row r="61" spans="1:2" ht="15">
      <c r="A61" s="23" t="s">
        <v>55</v>
      </c>
      <c r="B61" s="23"/>
    </row>
    <row r="62" spans="1:2" ht="14.25">
      <c r="A62" s="24"/>
      <c r="B62" s="25" t="s">
        <v>374</v>
      </c>
    </row>
    <row r="63" spans="1:5" ht="15">
      <c r="A63" s="26" t="s">
        <v>57</v>
      </c>
      <c r="B63" s="26" t="s">
        <v>58</v>
      </c>
      <c r="C63" s="26" t="s">
        <v>59</v>
      </c>
      <c r="D63" s="26" t="s">
        <v>60</v>
      </c>
      <c r="E63" s="26" t="s">
        <v>106</v>
      </c>
    </row>
    <row r="64" spans="1:5" ht="12.75">
      <c r="A64" s="27" t="s">
        <v>375</v>
      </c>
      <c r="B64" s="1" t="s">
        <v>376</v>
      </c>
      <c r="C64" s="1" t="s">
        <v>213</v>
      </c>
      <c r="D64" s="1" t="s">
        <v>356</v>
      </c>
      <c r="E64" s="28" t="s">
        <v>377</v>
      </c>
    </row>
    <row r="65" spans="1:5" ht="12.75">
      <c r="A65" s="27" t="s">
        <v>378</v>
      </c>
      <c r="B65" s="1" t="s">
        <v>376</v>
      </c>
      <c r="C65" s="1" t="s">
        <v>177</v>
      </c>
      <c r="D65" s="1" t="s">
        <v>379</v>
      </c>
      <c r="E65" s="28" t="s">
        <v>380</v>
      </c>
    </row>
    <row r="66" spans="1:5" ht="12.75">
      <c r="A66" s="27" t="s">
        <v>381</v>
      </c>
      <c r="B66" s="1" t="s">
        <v>376</v>
      </c>
      <c r="C66" s="1" t="s">
        <v>109</v>
      </c>
      <c r="D66" s="1" t="s">
        <v>382</v>
      </c>
      <c r="E66" s="28" t="s">
        <v>383</v>
      </c>
    </row>
    <row r="68" spans="1:2" ht="14.25">
      <c r="A68" s="24"/>
      <c r="B68" s="25" t="s">
        <v>56</v>
      </c>
    </row>
    <row r="69" spans="1:5" ht="15">
      <c r="A69" s="26" t="s">
        <v>57</v>
      </c>
      <c r="B69" s="26" t="s">
        <v>58</v>
      </c>
      <c r="C69" s="26" t="s">
        <v>59</v>
      </c>
      <c r="D69" s="26" t="s">
        <v>60</v>
      </c>
      <c r="E69" s="26" t="s">
        <v>106</v>
      </c>
    </row>
    <row r="70" spans="1:5" ht="12.75">
      <c r="A70" s="27" t="s">
        <v>384</v>
      </c>
      <c r="B70" s="1" t="s">
        <v>56</v>
      </c>
      <c r="C70" s="1" t="s">
        <v>213</v>
      </c>
      <c r="D70" s="1" t="s">
        <v>334</v>
      </c>
      <c r="E70" s="28" t="s">
        <v>385</v>
      </c>
    </row>
    <row r="71" spans="1:5" ht="12.75">
      <c r="A71" s="27" t="s">
        <v>386</v>
      </c>
      <c r="B71" s="1" t="s">
        <v>56</v>
      </c>
      <c r="C71" s="1" t="s">
        <v>173</v>
      </c>
      <c r="D71" s="1" t="s">
        <v>387</v>
      </c>
      <c r="E71" s="28" t="s">
        <v>388</v>
      </c>
    </row>
    <row r="72" spans="1:5" ht="12.75">
      <c r="A72" s="27" t="s">
        <v>208</v>
      </c>
      <c r="B72" s="1" t="s">
        <v>56</v>
      </c>
      <c r="C72" s="1" t="s">
        <v>209</v>
      </c>
      <c r="D72" s="1" t="s">
        <v>206</v>
      </c>
      <c r="E72" s="28" t="s">
        <v>389</v>
      </c>
    </row>
    <row r="73" spans="1:5" ht="12.75">
      <c r="A73" s="27" t="s">
        <v>390</v>
      </c>
      <c r="B73" s="1" t="s">
        <v>56</v>
      </c>
      <c r="C73" s="1" t="s">
        <v>173</v>
      </c>
      <c r="D73" s="1" t="s">
        <v>206</v>
      </c>
      <c r="E73" s="28" t="s">
        <v>391</v>
      </c>
    </row>
    <row r="74" spans="1:5" ht="12.75">
      <c r="A74" s="27" t="s">
        <v>392</v>
      </c>
      <c r="B74" s="1" t="s">
        <v>56</v>
      </c>
      <c r="C74" s="1" t="s">
        <v>109</v>
      </c>
      <c r="D74" s="1" t="s">
        <v>193</v>
      </c>
      <c r="E74" s="28" t="s">
        <v>393</v>
      </c>
    </row>
  </sheetData>
  <sheetProtection selectLockedCells="1" selectUnlockedCells="1"/>
  <mergeCells count="21">
    <mergeCell ref="L3:L4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22:L22"/>
    <mergeCell ref="A25:L25"/>
    <mergeCell ref="A29:L29"/>
    <mergeCell ref="A33:L33"/>
    <mergeCell ref="A36:L36"/>
    <mergeCell ref="M3:M4"/>
    <mergeCell ref="A5:L5"/>
    <mergeCell ref="A8:L8"/>
    <mergeCell ref="A11:L11"/>
    <mergeCell ref="A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8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399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9">
      <selection activeCell="G9" sqref="G9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3.37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400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185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248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401</v>
      </c>
      <c r="B6" s="29" t="s">
        <v>402</v>
      </c>
      <c r="C6" s="29" t="s">
        <v>403</v>
      </c>
      <c r="D6" s="29" t="str">
        <f>"0,7258"</f>
        <v>0,7258</v>
      </c>
      <c r="E6" s="29" t="s">
        <v>39</v>
      </c>
      <c r="F6" s="29" t="s">
        <v>52</v>
      </c>
      <c r="G6" s="32" t="s">
        <v>404</v>
      </c>
      <c r="H6" s="32" t="s">
        <v>404</v>
      </c>
      <c r="I6" s="32" t="s">
        <v>404</v>
      </c>
      <c r="J6" s="32"/>
      <c r="K6" s="29" t="str">
        <f>"0.00"</f>
        <v>0.00</v>
      </c>
      <c r="L6" s="30" t="str">
        <f>"0,0000"</f>
        <v>0,0000</v>
      </c>
      <c r="M6" s="29" t="s">
        <v>43</v>
      </c>
    </row>
    <row r="8" spans="1:12" ht="15">
      <c r="A8" s="48" t="s">
        <v>96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4" t="s">
        <v>36</v>
      </c>
      <c r="B9" s="14" t="s">
        <v>37</v>
      </c>
      <c r="C9" s="14" t="s">
        <v>38</v>
      </c>
      <c r="D9" s="14" t="str">
        <f>"0,5853"</f>
        <v>0,5853</v>
      </c>
      <c r="E9" s="14" t="s">
        <v>39</v>
      </c>
      <c r="F9" s="14" t="s">
        <v>40</v>
      </c>
      <c r="G9" s="15" t="s">
        <v>405</v>
      </c>
      <c r="H9" s="15" t="s">
        <v>327</v>
      </c>
      <c r="I9" s="15" t="s">
        <v>406</v>
      </c>
      <c r="J9" s="35"/>
      <c r="K9" s="14" t="str">
        <f>"240,0"</f>
        <v>240,0</v>
      </c>
      <c r="L9" s="15" t="str">
        <f>"140,4720"</f>
        <v>140,4720</v>
      </c>
      <c r="M9" s="14" t="s">
        <v>43</v>
      </c>
    </row>
    <row r="10" spans="1:13" ht="12.75">
      <c r="A10" s="20" t="s">
        <v>36</v>
      </c>
      <c r="B10" s="20" t="s">
        <v>54</v>
      </c>
      <c r="C10" s="20" t="s">
        <v>38</v>
      </c>
      <c r="D10" s="20" t="str">
        <f>"0,5853"</f>
        <v>0,5853</v>
      </c>
      <c r="E10" s="20" t="s">
        <v>39</v>
      </c>
      <c r="F10" s="20" t="s">
        <v>40</v>
      </c>
      <c r="G10" s="21" t="s">
        <v>405</v>
      </c>
      <c r="H10" s="21" t="s">
        <v>327</v>
      </c>
      <c r="I10" s="21" t="s">
        <v>406</v>
      </c>
      <c r="J10" s="36"/>
      <c r="K10" s="20" t="str">
        <f>"240,0"</f>
        <v>240,0</v>
      </c>
      <c r="L10" s="21" t="str">
        <f>"143,0005"</f>
        <v>143,0005</v>
      </c>
      <c r="M10" s="20" t="s">
        <v>43</v>
      </c>
    </row>
    <row r="12" ht="15">
      <c r="E12" s="12" t="s">
        <v>24</v>
      </c>
    </row>
    <row r="13" ht="15">
      <c r="E13" s="12" t="s">
        <v>25</v>
      </c>
    </row>
    <row r="14" ht="15">
      <c r="E14" s="12" t="s">
        <v>26</v>
      </c>
    </row>
    <row r="15" ht="15">
      <c r="E15" s="12" t="s">
        <v>27</v>
      </c>
    </row>
    <row r="16" ht="15">
      <c r="E16" s="12" t="s">
        <v>27</v>
      </c>
    </row>
    <row r="17" ht="15">
      <c r="E17" s="12" t="s">
        <v>28</v>
      </c>
    </row>
    <row r="18" ht="15">
      <c r="E18" s="12"/>
    </row>
    <row r="20" spans="1:2" ht="18">
      <c r="A20" s="13" t="s">
        <v>29</v>
      </c>
      <c r="B20" s="13"/>
    </row>
    <row r="21" spans="1:2" ht="15">
      <c r="A21" s="23" t="s">
        <v>55</v>
      </c>
      <c r="B21" s="23"/>
    </row>
    <row r="22" spans="1:2" ht="14.25">
      <c r="A22" s="24"/>
      <c r="B22" s="25" t="s">
        <v>56</v>
      </c>
    </row>
    <row r="23" spans="1:5" ht="15">
      <c r="A23" s="26" t="s">
        <v>57</v>
      </c>
      <c r="B23" s="26" t="s">
        <v>58</v>
      </c>
      <c r="C23" s="26" t="s">
        <v>59</v>
      </c>
      <c r="D23" s="26" t="s">
        <v>60</v>
      </c>
      <c r="E23" s="26" t="s">
        <v>106</v>
      </c>
    </row>
    <row r="24" spans="1:5" ht="12.75">
      <c r="A24" s="27" t="s">
        <v>62</v>
      </c>
      <c r="B24" s="1" t="s">
        <v>56</v>
      </c>
      <c r="C24" s="1" t="s">
        <v>109</v>
      </c>
      <c r="D24" s="1" t="s">
        <v>263</v>
      </c>
      <c r="E24" s="28" t="s">
        <v>407</v>
      </c>
    </row>
    <row r="26" spans="1:2" ht="14.25">
      <c r="A26" s="24"/>
      <c r="B26" s="25" t="s">
        <v>72</v>
      </c>
    </row>
    <row r="27" spans="1:5" ht="15">
      <c r="A27" s="26" t="s">
        <v>57</v>
      </c>
      <c r="B27" s="26" t="s">
        <v>58</v>
      </c>
      <c r="C27" s="26" t="s">
        <v>59</v>
      </c>
      <c r="D27" s="26" t="s">
        <v>60</v>
      </c>
      <c r="E27" s="26" t="s">
        <v>106</v>
      </c>
    </row>
    <row r="28" spans="1:5" ht="12.75">
      <c r="A28" s="27" t="s">
        <v>62</v>
      </c>
      <c r="B28" s="1" t="s">
        <v>73</v>
      </c>
      <c r="C28" s="1" t="s">
        <v>109</v>
      </c>
      <c r="D28" s="1" t="s">
        <v>263</v>
      </c>
      <c r="E28" s="28" t="s">
        <v>408</v>
      </c>
    </row>
  </sheetData>
  <sheetProtection selectLockedCells="1" selectUnlockedCells="1"/>
  <mergeCells count="13"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3">
      <selection activeCell="G13" sqref="G13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2.6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5.75390625" style="1" customWidth="1"/>
    <col min="14" max="16384" width="9.125" style="3" customWidth="1"/>
  </cols>
  <sheetData>
    <row r="1" spans="1:13" s="5" customFormat="1" ht="28.5" customHeight="1">
      <c r="A1" s="46" t="s">
        <v>409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185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248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249</v>
      </c>
      <c r="B6" s="29" t="s">
        <v>250</v>
      </c>
      <c r="C6" s="29" t="s">
        <v>251</v>
      </c>
      <c r="D6" s="29" t="str">
        <f>"0,8444"</f>
        <v>0,8444</v>
      </c>
      <c r="E6" s="29" t="s">
        <v>223</v>
      </c>
      <c r="F6" s="29" t="s">
        <v>252</v>
      </c>
      <c r="G6" s="30" t="s">
        <v>104</v>
      </c>
      <c r="H6" s="32" t="s">
        <v>41</v>
      </c>
      <c r="I6" s="30" t="s">
        <v>41</v>
      </c>
      <c r="J6" s="32"/>
      <c r="K6" s="29" t="str">
        <f>"55,0"</f>
        <v>55,0</v>
      </c>
      <c r="L6" s="30" t="str">
        <f>"46,4420"</f>
        <v>46,4420</v>
      </c>
      <c r="M6" s="29" t="s">
        <v>255</v>
      </c>
    </row>
    <row r="8" spans="1:12" ht="15">
      <c r="A8" s="48" t="s">
        <v>96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4" t="s">
        <v>410</v>
      </c>
      <c r="B9" s="14" t="s">
        <v>411</v>
      </c>
      <c r="C9" s="14" t="s">
        <v>412</v>
      </c>
      <c r="D9" s="14" t="str">
        <f>"0,5889"</f>
        <v>0,5889</v>
      </c>
      <c r="E9" s="14" t="s">
        <v>413</v>
      </c>
      <c r="F9" s="14" t="s">
        <v>47</v>
      </c>
      <c r="G9" s="15" t="s">
        <v>414</v>
      </c>
      <c r="H9" s="15" t="s">
        <v>415</v>
      </c>
      <c r="I9" s="15" t="s">
        <v>416</v>
      </c>
      <c r="J9" s="35"/>
      <c r="K9" s="14" t="str">
        <f>"185,0"</f>
        <v>185,0</v>
      </c>
      <c r="L9" s="15" t="str">
        <f>"111,1254"</f>
        <v>111,1254</v>
      </c>
      <c r="M9" s="14" t="s">
        <v>148</v>
      </c>
    </row>
    <row r="10" spans="1:13" ht="12.75">
      <c r="A10" s="20" t="s">
        <v>410</v>
      </c>
      <c r="B10" s="20" t="s">
        <v>417</v>
      </c>
      <c r="C10" s="20" t="s">
        <v>412</v>
      </c>
      <c r="D10" s="20" t="str">
        <f>"0,5889"</f>
        <v>0,5889</v>
      </c>
      <c r="E10" s="20" t="s">
        <v>413</v>
      </c>
      <c r="F10" s="20" t="s">
        <v>47</v>
      </c>
      <c r="G10" s="21" t="s">
        <v>414</v>
      </c>
      <c r="H10" s="21" t="s">
        <v>415</v>
      </c>
      <c r="I10" s="21" t="s">
        <v>416</v>
      </c>
      <c r="J10" s="36"/>
      <c r="K10" s="20" t="str">
        <f>"185,0"</f>
        <v>185,0</v>
      </c>
      <c r="L10" s="21" t="str">
        <f>"108,9465"</f>
        <v>108,9465</v>
      </c>
      <c r="M10" s="20" t="s">
        <v>148</v>
      </c>
    </row>
    <row r="12" spans="1:12" ht="15">
      <c r="A12" s="48" t="s">
        <v>154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2.75">
      <c r="A13" s="29" t="s">
        <v>418</v>
      </c>
      <c r="B13" s="29" t="s">
        <v>419</v>
      </c>
      <c r="C13" s="29" t="s">
        <v>420</v>
      </c>
      <c r="D13" s="29" t="str">
        <f>"0,5455"</f>
        <v>0,5455</v>
      </c>
      <c r="E13" s="29" t="s">
        <v>144</v>
      </c>
      <c r="F13" s="29" t="s">
        <v>421</v>
      </c>
      <c r="G13" s="30" t="s">
        <v>322</v>
      </c>
      <c r="H13" s="30" t="s">
        <v>422</v>
      </c>
      <c r="I13" s="30" t="s">
        <v>323</v>
      </c>
      <c r="J13" s="32"/>
      <c r="K13" s="29" t="str">
        <f>"190,0"</f>
        <v>190,0</v>
      </c>
      <c r="L13" s="30" t="str">
        <f>"187,5974"</f>
        <v>187,5974</v>
      </c>
      <c r="M13" s="29" t="s">
        <v>148</v>
      </c>
    </row>
    <row r="15" ht="15">
      <c r="E15" s="12" t="s">
        <v>24</v>
      </c>
    </row>
    <row r="16" ht="15">
      <c r="E16" s="12" t="s">
        <v>25</v>
      </c>
    </row>
    <row r="17" ht="15">
      <c r="E17" s="12" t="s">
        <v>26</v>
      </c>
    </row>
    <row r="18" ht="15">
      <c r="E18" s="12" t="s">
        <v>27</v>
      </c>
    </row>
    <row r="19" ht="15">
      <c r="E19" s="12" t="s">
        <v>27</v>
      </c>
    </row>
    <row r="20" ht="15">
      <c r="E20" s="12" t="s">
        <v>28</v>
      </c>
    </row>
    <row r="21" ht="15">
      <c r="E21" s="12"/>
    </row>
    <row r="23" spans="1:2" ht="18">
      <c r="A23" s="13" t="s">
        <v>29</v>
      </c>
      <c r="B23" s="13"/>
    </row>
    <row r="24" spans="1:2" ht="15">
      <c r="A24" s="23" t="s">
        <v>86</v>
      </c>
      <c r="B24" s="23"/>
    </row>
    <row r="25" spans="1:2" ht="14.25">
      <c r="A25" s="24"/>
      <c r="B25" s="25" t="s">
        <v>56</v>
      </c>
    </row>
    <row r="26" spans="1:5" ht="15">
      <c r="A26" s="26" t="s">
        <v>57</v>
      </c>
      <c r="B26" s="26" t="s">
        <v>58</v>
      </c>
      <c r="C26" s="26" t="s">
        <v>59</v>
      </c>
      <c r="D26" s="26" t="s">
        <v>60</v>
      </c>
      <c r="E26" s="26" t="s">
        <v>106</v>
      </c>
    </row>
    <row r="27" spans="1:5" ht="12.75">
      <c r="A27" s="27" t="s">
        <v>269</v>
      </c>
      <c r="B27" s="1" t="s">
        <v>56</v>
      </c>
      <c r="C27" s="1" t="s">
        <v>270</v>
      </c>
      <c r="D27" s="1" t="s">
        <v>41</v>
      </c>
      <c r="E27" s="28" t="s">
        <v>423</v>
      </c>
    </row>
    <row r="30" spans="1:2" ht="15">
      <c r="A30" s="23" t="s">
        <v>55</v>
      </c>
      <c r="B30" s="23"/>
    </row>
    <row r="31" spans="1:2" ht="14.25">
      <c r="A31" s="24"/>
      <c r="B31" s="25" t="s">
        <v>374</v>
      </c>
    </row>
    <row r="32" spans="1:5" ht="15">
      <c r="A32" s="26" t="s">
        <v>57</v>
      </c>
      <c r="B32" s="26" t="s">
        <v>58</v>
      </c>
      <c r="C32" s="26" t="s">
        <v>59</v>
      </c>
      <c r="D32" s="26" t="s">
        <v>60</v>
      </c>
      <c r="E32" s="26" t="s">
        <v>106</v>
      </c>
    </row>
    <row r="33" spans="1:5" ht="12.75">
      <c r="A33" s="27" t="s">
        <v>424</v>
      </c>
      <c r="B33" s="1" t="s">
        <v>376</v>
      </c>
      <c r="C33" s="1" t="s">
        <v>109</v>
      </c>
      <c r="D33" s="1" t="s">
        <v>416</v>
      </c>
      <c r="E33" s="28" t="s">
        <v>425</v>
      </c>
    </row>
    <row r="35" spans="1:2" ht="14.25">
      <c r="A35" s="24"/>
      <c r="B35" s="25" t="s">
        <v>56</v>
      </c>
    </row>
    <row r="36" spans="1:5" ht="15">
      <c r="A36" s="26" t="s">
        <v>57</v>
      </c>
      <c r="B36" s="26" t="s">
        <v>58</v>
      </c>
      <c r="C36" s="26" t="s">
        <v>59</v>
      </c>
      <c r="D36" s="26" t="s">
        <v>60</v>
      </c>
      <c r="E36" s="26" t="s">
        <v>106</v>
      </c>
    </row>
    <row r="37" spans="1:5" ht="12.75">
      <c r="A37" s="27" t="s">
        <v>424</v>
      </c>
      <c r="B37" s="1" t="s">
        <v>56</v>
      </c>
      <c r="C37" s="1" t="s">
        <v>109</v>
      </c>
      <c r="D37" s="1" t="s">
        <v>416</v>
      </c>
      <c r="E37" s="28" t="s">
        <v>426</v>
      </c>
    </row>
    <row r="39" spans="1:2" ht="14.25">
      <c r="A39" s="24"/>
      <c r="B39" s="25" t="s">
        <v>72</v>
      </c>
    </row>
    <row r="40" spans="1:5" ht="15">
      <c r="A40" s="26" t="s">
        <v>57</v>
      </c>
      <c r="B40" s="26" t="s">
        <v>58</v>
      </c>
      <c r="C40" s="26" t="s">
        <v>59</v>
      </c>
      <c r="D40" s="26" t="s">
        <v>60</v>
      </c>
      <c r="E40" s="26" t="s">
        <v>106</v>
      </c>
    </row>
    <row r="41" spans="1:5" ht="12.75">
      <c r="A41" s="27" t="s">
        <v>427</v>
      </c>
      <c r="B41" s="1" t="s">
        <v>428</v>
      </c>
      <c r="C41" s="1" t="s">
        <v>173</v>
      </c>
      <c r="D41" s="1" t="s">
        <v>379</v>
      </c>
      <c r="E41" s="28" t="s">
        <v>429</v>
      </c>
    </row>
  </sheetData>
  <sheetProtection selectLockedCells="1" selectUnlockedCells="1"/>
  <mergeCells count="14">
    <mergeCell ref="F3:F4"/>
    <mergeCell ref="G3:J3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8.1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7.75390625" style="1" customWidth="1"/>
    <col min="14" max="16384" width="9.125" style="3" customWidth="1"/>
  </cols>
  <sheetData>
    <row r="1" spans="1:13" s="5" customFormat="1" ht="28.5" customHeight="1">
      <c r="A1" s="46" t="s">
        <v>430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185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431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29" t="s">
        <v>432</v>
      </c>
      <c r="B6" s="29" t="s">
        <v>433</v>
      </c>
      <c r="C6" s="29" t="s">
        <v>434</v>
      </c>
      <c r="D6" s="29" t="str">
        <f>"1,1722"</f>
        <v>1,1722</v>
      </c>
      <c r="E6" s="29" t="s">
        <v>39</v>
      </c>
      <c r="F6" s="29" t="s">
        <v>40</v>
      </c>
      <c r="G6" s="30" t="s">
        <v>282</v>
      </c>
      <c r="H6" s="30" t="s">
        <v>435</v>
      </c>
      <c r="I6" s="32" t="s">
        <v>104</v>
      </c>
      <c r="J6" s="32"/>
      <c r="K6" s="29" t="str">
        <f>"47,5"</f>
        <v>47,5</v>
      </c>
      <c r="L6" s="30" t="str">
        <f>"55,6795"</f>
        <v>55,6795</v>
      </c>
      <c r="M6" s="29" t="s">
        <v>43</v>
      </c>
    </row>
    <row r="8" spans="1:12" ht="15">
      <c r="A8" s="48" t="s">
        <v>290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29" t="s">
        <v>436</v>
      </c>
      <c r="B9" s="29" t="s">
        <v>437</v>
      </c>
      <c r="C9" s="29" t="s">
        <v>83</v>
      </c>
      <c r="D9" s="29" t="str">
        <f>"0,8609"</f>
        <v>0,8609</v>
      </c>
      <c r="E9" s="29" t="s">
        <v>39</v>
      </c>
      <c r="F9" s="29" t="s">
        <v>438</v>
      </c>
      <c r="G9" s="32" t="s">
        <v>41</v>
      </c>
      <c r="H9" s="30" t="s">
        <v>283</v>
      </c>
      <c r="I9" s="32" t="s">
        <v>439</v>
      </c>
      <c r="J9" s="32"/>
      <c r="K9" s="29" t="str">
        <f>"55,0"</f>
        <v>55,0</v>
      </c>
      <c r="L9" s="30" t="str">
        <f>"47,3495"</f>
        <v>47,3495</v>
      </c>
      <c r="M9" s="29" t="s">
        <v>440</v>
      </c>
    </row>
    <row r="11" spans="1:12" ht="15">
      <c r="A11" s="48" t="s">
        <v>248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29" t="s">
        <v>441</v>
      </c>
      <c r="B12" s="29" t="s">
        <v>442</v>
      </c>
      <c r="C12" s="29" t="s">
        <v>443</v>
      </c>
      <c r="D12" s="29" t="str">
        <f>"0,7933"</f>
        <v>0,7933</v>
      </c>
      <c r="E12" s="29" t="s">
        <v>39</v>
      </c>
      <c r="F12" s="29" t="s">
        <v>100</v>
      </c>
      <c r="G12" s="30" t="s">
        <v>444</v>
      </c>
      <c r="H12" s="30" t="s">
        <v>445</v>
      </c>
      <c r="I12" s="30" t="s">
        <v>284</v>
      </c>
      <c r="J12" s="32"/>
      <c r="K12" s="29" t="str">
        <f>"65,0"</f>
        <v>65,0</v>
      </c>
      <c r="L12" s="30" t="str">
        <f>"51,5645"</f>
        <v>51,5645</v>
      </c>
      <c r="M12" s="29" t="s">
        <v>43</v>
      </c>
    </row>
    <row r="14" spans="1:12" ht="15">
      <c r="A14" s="48" t="s">
        <v>140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29" t="s">
        <v>446</v>
      </c>
      <c r="B15" s="29" t="s">
        <v>447</v>
      </c>
      <c r="C15" s="29" t="s">
        <v>448</v>
      </c>
      <c r="D15" s="29" t="str">
        <f>"0,7725"</f>
        <v>0,7725</v>
      </c>
      <c r="E15" s="29" t="s">
        <v>39</v>
      </c>
      <c r="F15" s="29" t="s">
        <v>301</v>
      </c>
      <c r="G15" s="30" t="s">
        <v>435</v>
      </c>
      <c r="H15" s="30" t="s">
        <v>449</v>
      </c>
      <c r="I15" s="32" t="s">
        <v>450</v>
      </c>
      <c r="J15" s="32"/>
      <c r="K15" s="29" t="str">
        <f>"50,0"</f>
        <v>50,0</v>
      </c>
      <c r="L15" s="30" t="str">
        <f>"38,6250"</f>
        <v>38,6250</v>
      </c>
      <c r="M15" s="29" t="s">
        <v>43</v>
      </c>
    </row>
    <row r="17" spans="1:12" ht="15">
      <c r="A17" s="48" t="s">
        <v>140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14" t="s">
        <v>451</v>
      </c>
      <c r="B18" s="14" t="s">
        <v>452</v>
      </c>
      <c r="C18" s="14" t="s">
        <v>453</v>
      </c>
      <c r="D18" s="14" t="str">
        <f>"0,6760"</f>
        <v>0,6760</v>
      </c>
      <c r="E18" s="14" t="s">
        <v>39</v>
      </c>
      <c r="F18" s="14" t="s">
        <v>454</v>
      </c>
      <c r="G18" s="15" t="s">
        <v>146</v>
      </c>
      <c r="H18" s="15" t="s">
        <v>103</v>
      </c>
      <c r="I18" s="15" t="s">
        <v>455</v>
      </c>
      <c r="J18" s="35"/>
      <c r="K18" s="14" t="str">
        <f>"85,0"</f>
        <v>85,0</v>
      </c>
      <c r="L18" s="15" t="str">
        <f>"67,8028"</f>
        <v>67,8028</v>
      </c>
      <c r="M18" s="14" t="s">
        <v>43</v>
      </c>
    </row>
    <row r="19" spans="1:13" ht="12.75">
      <c r="A19" s="17" t="s">
        <v>456</v>
      </c>
      <c r="B19" s="17" t="s">
        <v>319</v>
      </c>
      <c r="C19" s="17" t="s">
        <v>320</v>
      </c>
      <c r="D19" s="17" t="str">
        <f>"0,6906"</f>
        <v>0,6906</v>
      </c>
      <c r="E19" s="17" t="s">
        <v>39</v>
      </c>
      <c r="F19" s="17" t="s">
        <v>152</v>
      </c>
      <c r="G19" s="38" t="s">
        <v>369</v>
      </c>
      <c r="H19" s="38" t="s">
        <v>369</v>
      </c>
      <c r="I19" s="38" t="s">
        <v>369</v>
      </c>
      <c r="J19" s="38"/>
      <c r="K19" s="17" t="str">
        <f>"0.00"</f>
        <v>0.00</v>
      </c>
      <c r="L19" s="18" t="str">
        <f>"0,0000"</f>
        <v>0,0000</v>
      </c>
      <c r="M19" s="17" t="s">
        <v>43</v>
      </c>
    </row>
    <row r="20" spans="1:13" ht="12.75">
      <c r="A20" s="17" t="s">
        <v>141</v>
      </c>
      <c r="B20" s="17" t="s">
        <v>142</v>
      </c>
      <c r="C20" s="17" t="s">
        <v>143</v>
      </c>
      <c r="D20" s="17" t="str">
        <f>"0,6708"</f>
        <v>0,6708</v>
      </c>
      <c r="E20" s="17" t="s">
        <v>144</v>
      </c>
      <c r="F20" s="17" t="s">
        <v>145</v>
      </c>
      <c r="G20" s="18" t="s">
        <v>296</v>
      </c>
      <c r="H20" s="18" t="s">
        <v>457</v>
      </c>
      <c r="I20" s="38" t="s">
        <v>458</v>
      </c>
      <c r="J20" s="38"/>
      <c r="K20" s="17" t="str">
        <f>"150,0"</f>
        <v>150,0</v>
      </c>
      <c r="L20" s="18" t="str">
        <f>"100,6200"</f>
        <v>100,6200</v>
      </c>
      <c r="M20" s="17" t="s">
        <v>148</v>
      </c>
    </row>
    <row r="21" spans="1:13" ht="12.75">
      <c r="A21" s="17" t="s">
        <v>149</v>
      </c>
      <c r="B21" s="17" t="s">
        <v>150</v>
      </c>
      <c r="C21" s="17" t="s">
        <v>151</v>
      </c>
      <c r="D21" s="17" t="str">
        <f>"0,6687"</f>
        <v>0,6687</v>
      </c>
      <c r="E21" s="17" t="s">
        <v>39</v>
      </c>
      <c r="F21" s="17" t="s">
        <v>152</v>
      </c>
      <c r="G21" s="38" t="s">
        <v>192</v>
      </c>
      <c r="H21" s="18" t="s">
        <v>459</v>
      </c>
      <c r="I21" s="18" t="s">
        <v>460</v>
      </c>
      <c r="J21" s="38"/>
      <c r="K21" s="17" t="str">
        <f>"145,0"</f>
        <v>145,0</v>
      </c>
      <c r="L21" s="18" t="str">
        <f>"98,7068"</f>
        <v>98,7068</v>
      </c>
      <c r="M21" s="17" t="s">
        <v>43</v>
      </c>
    </row>
    <row r="22" spans="1:13" ht="12.75">
      <c r="A22" s="20" t="s">
        <v>461</v>
      </c>
      <c r="B22" s="20" t="s">
        <v>462</v>
      </c>
      <c r="C22" s="20" t="s">
        <v>463</v>
      </c>
      <c r="D22" s="20" t="str">
        <f>"0,6680"</f>
        <v>0,6680</v>
      </c>
      <c r="E22" s="20" t="s">
        <v>39</v>
      </c>
      <c r="F22" s="20" t="s">
        <v>47</v>
      </c>
      <c r="G22" s="21" t="s">
        <v>464</v>
      </c>
      <c r="H22" s="21" t="s">
        <v>465</v>
      </c>
      <c r="I22" s="21" t="s">
        <v>466</v>
      </c>
      <c r="J22" s="36"/>
      <c r="K22" s="20" t="str">
        <f>"100,0"</f>
        <v>100,0</v>
      </c>
      <c r="L22" s="21" t="str">
        <f>"139,3448"</f>
        <v>139,3448</v>
      </c>
      <c r="M22" s="20" t="s">
        <v>43</v>
      </c>
    </row>
    <row r="24" spans="1:12" ht="15">
      <c r="A24" s="48" t="s">
        <v>187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 ht="12.75">
      <c r="A25" s="14" t="s">
        <v>467</v>
      </c>
      <c r="B25" s="14" t="s">
        <v>468</v>
      </c>
      <c r="C25" s="14" t="s">
        <v>469</v>
      </c>
      <c r="D25" s="14" t="str">
        <f>"0,6329"</f>
        <v>0,6329</v>
      </c>
      <c r="E25" s="14" t="s">
        <v>39</v>
      </c>
      <c r="F25" s="14" t="s">
        <v>47</v>
      </c>
      <c r="G25" s="15" t="s">
        <v>470</v>
      </c>
      <c r="H25" s="15" t="s">
        <v>471</v>
      </c>
      <c r="I25" s="35" t="s">
        <v>472</v>
      </c>
      <c r="J25" s="35"/>
      <c r="K25" s="14" t="str">
        <f>"82,5"</f>
        <v>82,5</v>
      </c>
      <c r="L25" s="15" t="str">
        <f>"56,3914"</f>
        <v>56,3914</v>
      </c>
      <c r="M25" s="14" t="s">
        <v>473</v>
      </c>
    </row>
    <row r="26" spans="1:13" ht="12.75">
      <c r="A26" s="17" t="s">
        <v>474</v>
      </c>
      <c r="B26" s="17" t="s">
        <v>475</v>
      </c>
      <c r="C26" s="17" t="s">
        <v>476</v>
      </c>
      <c r="D26" s="17" t="str">
        <f>"0,6301"</f>
        <v>0,6301</v>
      </c>
      <c r="E26" s="17" t="s">
        <v>165</v>
      </c>
      <c r="F26" s="17" t="s">
        <v>477</v>
      </c>
      <c r="G26" s="18" t="s">
        <v>192</v>
      </c>
      <c r="H26" s="18" t="s">
        <v>193</v>
      </c>
      <c r="I26" s="18" t="s">
        <v>259</v>
      </c>
      <c r="J26" s="38"/>
      <c r="K26" s="17" t="str">
        <f>"145,0"</f>
        <v>145,0</v>
      </c>
      <c r="L26" s="18" t="str">
        <f>"95,0191"</f>
        <v>95,0191</v>
      </c>
      <c r="M26" s="17" t="s">
        <v>43</v>
      </c>
    </row>
    <row r="27" spans="1:13" ht="12.75">
      <c r="A27" s="17" t="s">
        <v>474</v>
      </c>
      <c r="B27" s="17" t="s">
        <v>478</v>
      </c>
      <c r="C27" s="17" t="s">
        <v>476</v>
      </c>
      <c r="D27" s="17" t="str">
        <f>"0,6301"</f>
        <v>0,6301</v>
      </c>
      <c r="E27" s="17" t="s">
        <v>165</v>
      </c>
      <c r="F27" s="17" t="s">
        <v>477</v>
      </c>
      <c r="G27" s="18" t="s">
        <v>192</v>
      </c>
      <c r="H27" s="18" t="s">
        <v>193</v>
      </c>
      <c r="I27" s="18" t="s">
        <v>259</v>
      </c>
      <c r="J27" s="38"/>
      <c r="K27" s="17" t="str">
        <f>"145,0"</f>
        <v>145,0</v>
      </c>
      <c r="L27" s="18" t="str">
        <f>"91,3645"</f>
        <v>91,3645</v>
      </c>
      <c r="M27" s="17" t="s">
        <v>43</v>
      </c>
    </row>
    <row r="28" spans="1:13" ht="12.75">
      <c r="A28" s="20" t="s">
        <v>479</v>
      </c>
      <c r="B28" s="20" t="s">
        <v>480</v>
      </c>
      <c r="C28" s="20" t="s">
        <v>481</v>
      </c>
      <c r="D28" s="20" t="str">
        <f>"0,6193"</f>
        <v>0,6193</v>
      </c>
      <c r="E28" s="20" t="s">
        <v>39</v>
      </c>
      <c r="F28" s="20" t="s">
        <v>294</v>
      </c>
      <c r="G28" s="21" t="s">
        <v>193</v>
      </c>
      <c r="H28" s="36" t="s">
        <v>482</v>
      </c>
      <c r="I28" s="36" t="s">
        <v>482</v>
      </c>
      <c r="J28" s="36"/>
      <c r="K28" s="20" t="str">
        <f>"140,0"</f>
        <v>140,0</v>
      </c>
      <c r="L28" s="21" t="str">
        <f>"86,9621"</f>
        <v>86,9621</v>
      </c>
      <c r="M28" s="20" t="s">
        <v>297</v>
      </c>
    </row>
    <row r="30" spans="1:12" ht="15">
      <c r="A30" s="48" t="s">
        <v>96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ht="12.75">
      <c r="A31" s="14" t="s">
        <v>36</v>
      </c>
      <c r="B31" s="14" t="s">
        <v>37</v>
      </c>
      <c r="C31" s="14" t="s">
        <v>38</v>
      </c>
      <c r="D31" s="14" t="str">
        <f>"0,5853"</f>
        <v>0,5853</v>
      </c>
      <c r="E31" s="14" t="s">
        <v>39</v>
      </c>
      <c r="F31" s="14" t="s">
        <v>40</v>
      </c>
      <c r="G31" s="15" t="s">
        <v>306</v>
      </c>
      <c r="H31" s="15" t="s">
        <v>193</v>
      </c>
      <c r="I31" s="35" t="s">
        <v>260</v>
      </c>
      <c r="J31" s="35"/>
      <c r="K31" s="14" t="str">
        <f>"140,0"</f>
        <v>140,0</v>
      </c>
      <c r="L31" s="15" t="str">
        <f>"81,9420"</f>
        <v>81,9420</v>
      </c>
      <c r="M31" s="14" t="s">
        <v>43</v>
      </c>
    </row>
    <row r="32" spans="1:13" ht="12.75">
      <c r="A32" s="17" t="s">
        <v>36</v>
      </c>
      <c r="B32" s="17" t="s">
        <v>54</v>
      </c>
      <c r="C32" s="17" t="s">
        <v>38</v>
      </c>
      <c r="D32" s="17" t="str">
        <f>"0,5853"</f>
        <v>0,5853</v>
      </c>
      <c r="E32" s="17" t="s">
        <v>39</v>
      </c>
      <c r="F32" s="17" t="s">
        <v>40</v>
      </c>
      <c r="G32" s="18" t="s">
        <v>306</v>
      </c>
      <c r="H32" s="18" t="s">
        <v>193</v>
      </c>
      <c r="I32" s="38" t="s">
        <v>260</v>
      </c>
      <c r="J32" s="38"/>
      <c r="K32" s="17" t="str">
        <f>"140,0"</f>
        <v>140,0</v>
      </c>
      <c r="L32" s="18" t="str">
        <f>"83,4170"</f>
        <v>83,4170</v>
      </c>
      <c r="M32" s="17" t="s">
        <v>43</v>
      </c>
    </row>
    <row r="33" spans="1:13" ht="12.75">
      <c r="A33" s="20" t="s">
        <v>483</v>
      </c>
      <c r="B33" s="20" t="s">
        <v>484</v>
      </c>
      <c r="C33" s="20" t="s">
        <v>485</v>
      </c>
      <c r="D33" s="20" t="str">
        <f>"0,5857"</f>
        <v>0,5857</v>
      </c>
      <c r="E33" s="20" t="s">
        <v>39</v>
      </c>
      <c r="F33" s="20" t="s">
        <v>40</v>
      </c>
      <c r="G33" s="21" t="s">
        <v>486</v>
      </c>
      <c r="H33" s="21" t="s">
        <v>466</v>
      </c>
      <c r="I33" s="21" t="s">
        <v>312</v>
      </c>
      <c r="J33" s="36"/>
      <c r="K33" s="20" t="str">
        <f>"115,0"</f>
        <v>115,0</v>
      </c>
      <c r="L33" s="21" t="str">
        <f>"73,5522"</f>
        <v>73,5522</v>
      </c>
      <c r="M33" s="20" t="s">
        <v>487</v>
      </c>
    </row>
    <row r="35" spans="1:12" ht="15">
      <c r="A35" s="48" t="s">
        <v>198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3" ht="12.75">
      <c r="A36" s="14" t="s">
        <v>199</v>
      </c>
      <c r="B36" s="14" t="s">
        <v>200</v>
      </c>
      <c r="C36" s="14" t="s">
        <v>201</v>
      </c>
      <c r="D36" s="14" t="str">
        <f>"0,5657"</f>
        <v>0,5657</v>
      </c>
      <c r="E36" s="14" t="s">
        <v>39</v>
      </c>
      <c r="F36" s="14" t="s">
        <v>145</v>
      </c>
      <c r="G36" s="15" t="s">
        <v>488</v>
      </c>
      <c r="H36" s="35" t="s">
        <v>203</v>
      </c>
      <c r="I36" s="35" t="s">
        <v>203</v>
      </c>
      <c r="J36" s="35"/>
      <c r="K36" s="14" t="str">
        <f>"155,0"</f>
        <v>155,0</v>
      </c>
      <c r="L36" s="15" t="str">
        <f>"87,6835"</f>
        <v>87,6835</v>
      </c>
      <c r="M36" s="14" t="s">
        <v>207</v>
      </c>
    </row>
    <row r="37" spans="1:13" ht="12.75">
      <c r="A37" s="20" t="s">
        <v>489</v>
      </c>
      <c r="B37" s="20" t="s">
        <v>490</v>
      </c>
      <c r="C37" s="20" t="s">
        <v>201</v>
      </c>
      <c r="D37" s="20" t="str">
        <f>"0,5657"</f>
        <v>0,5657</v>
      </c>
      <c r="E37" s="20" t="s">
        <v>39</v>
      </c>
      <c r="F37" s="20" t="s">
        <v>47</v>
      </c>
      <c r="G37" s="21" t="s">
        <v>491</v>
      </c>
      <c r="H37" s="21" t="s">
        <v>203</v>
      </c>
      <c r="I37" s="21" t="s">
        <v>492</v>
      </c>
      <c r="J37" s="36"/>
      <c r="K37" s="20" t="str">
        <f>"165,0"</f>
        <v>165,0</v>
      </c>
      <c r="L37" s="21" t="str">
        <f>"99,7810"</f>
        <v>99,7810</v>
      </c>
      <c r="M37" s="20" t="s">
        <v>43</v>
      </c>
    </row>
    <row r="39" spans="1:12" ht="15">
      <c r="A39" s="48" t="s">
        <v>154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29" t="s">
        <v>155</v>
      </c>
      <c r="B40" s="29" t="s">
        <v>156</v>
      </c>
      <c r="C40" s="29" t="s">
        <v>157</v>
      </c>
      <c r="D40" s="29" t="str">
        <f>"0,5365"</f>
        <v>0,5365</v>
      </c>
      <c r="E40" s="29" t="s">
        <v>39</v>
      </c>
      <c r="F40" s="29" t="s">
        <v>158</v>
      </c>
      <c r="G40" s="30" t="s">
        <v>321</v>
      </c>
      <c r="H40" s="30" t="s">
        <v>422</v>
      </c>
      <c r="I40" s="32" t="s">
        <v>493</v>
      </c>
      <c r="J40" s="32"/>
      <c r="K40" s="29" t="str">
        <f>"185,0"</f>
        <v>185,0</v>
      </c>
      <c r="L40" s="30" t="str">
        <f>"99,2525"</f>
        <v>99,2525</v>
      </c>
      <c r="M40" s="29" t="s">
        <v>161</v>
      </c>
    </row>
    <row r="42" spans="1:12" ht="15">
      <c r="A42" s="48" t="s">
        <v>127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3" ht="12.75">
      <c r="A43" s="29" t="s">
        <v>162</v>
      </c>
      <c r="B43" s="29" t="s">
        <v>163</v>
      </c>
      <c r="C43" s="29" t="s">
        <v>164</v>
      </c>
      <c r="D43" s="29" t="str">
        <f>"0,5255"</f>
        <v>0,5255</v>
      </c>
      <c r="E43" s="29" t="s">
        <v>165</v>
      </c>
      <c r="F43" s="29" t="s">
        <v>145</v>
      </c>
      <c r="G43" s="30" t="s">
        <v>494</v>
      </c>
      <c r="H43" s="32" t="s">
        <v>265</v>
      </c>
      <c r="I43" s="32" t="s">
        <v>265</v>
      </c>
      <c r="J43" s="32"/>
      <c r="K43" s="29" t="str">
        <f>"245,0"</f>
        <v>245,0</v>
      </c>
      <c r="L43" s="30" t="str">
        <f>"128,7475"</f>
        <v>128,7475</v>
      </c>
      <c r="M43" s="29" t="s">
        <v>168</v>
      </c>
    </row>
    <row r="45" ht="15">
      <c r="E45" s="12" t="s">
        <v>24</v>
      </c>
    </row>
    <row r="46" ht="15">
      <c r="E46" s="12" t="s">
        <v>25</v>
      </c>
    </row>
    <row r="47" ht="15">
      <c r="E47" s="12" t="s">
        <v>26</v>
      </c>
    </row>
    <row r="48" ht="15">
      <c r="E48" s="12" t="s">
        <v>27</v>
      </c>
    </row>
    <row r="49" ht="15">
      <c r="E49" s="12" t="s">
        <v>27</v>
      </c>
    </row>
    <row r="50" ht="15">
      <c r="E50" s="12" t="s">
        <v>28</v>
      </c>
    </row>
    <row r="51" ht="15">
      <c r="E51" s="12"/>
    </row>
    <row r="53" spans="1:2" ht="18">
      <c r="A53" s="13" t="s">
        <v>29</v>
      </c>
      <c r="B53" s="13"/>
    </row>
    <row r="54" spans="1:2" ht="15">
      <c r="A54" s="23" t="s">
        <v>86</v>
      </c>
      <c r="B54" s="23"/>
    </row>
    <row r="55" spans="1:2" ht="14.25">
      <c r="A55" s="24"/>
      <c r="B55" s="25" t="s">
        <v>56</v>
      </c>
    </row>
    <row r="56" spans="1:5" ht="15">
      <c r="A56" s="26" t="s">
        <v>57</v>
      </c>
      <c r="B56" s="26" t="s">
        <v>58</v>
      </c>
      <c r="C56" s="26" t="s">
        <v>59</v>
      </c>
      <c r="D56" s="26" t="s">
        <v>60</v>
      </c>
      <c r="E56" s="26" t="s">
        <v>106</v>
      </c>
    </row>
    <row r="57" spans="1:5" ht="12.75">
      <c r="A57" s="27" t="s">
        <v>495</v>
      </c>
      <c r="B57" s="1" t="s">
        <v>56</v>
      </c>
      <c r="C57" s="1" t="s">
        <v>496</v>
      </c>
      <c r="D57" s="1" t="s">
        <v>497</v>
      </c>
      <c r="E57" s="28" t="s">
        <v>498</v>
      </c>
    </row>
    <row r="58" spans="1:5" ht="12.75">
      <c r="A58" s="27" t="s">
        <v>499</v>
      </c>
      <c r="B58" s="1" t="s">
        <v>56</v>
      </c>
      <c r="C58" s="1" t="s">
        <v>270</v>
      </c>
      <c r="D58" s="1" t="s">
        <v>119</v>
      </c>
      <c r="E58" s="28" t="s">
        <v>500</v>
      </c>
    </row>
    <row r="59" spans="1:5" ht="12.75">
      <c r="A59" s="27" t="s">
        <v>501</v>
      </c>
      <c r="B59" s="1" t="s">
        <v>56</v>
      </c>
      <c r="C59" s="1" t="s">
        <v>358</v>
      </c>
      <c r="D59" s="1" t="s">
        <v>41</v>
      </c>
      <c r="E59" s="28" t="s">
        <v>502</v>
      </c>
    </row>
    <row r="60" spans="1:5" ht="12.75">
      <c r="A60" s="27" t="s">
        <v>503</v>
      </c>
      <c r="B60" s="1" t="s">
        <v>56</v>
      </c>
      <c r="C60" s="1" t="s">
        <v>177</v>
      </c>
      <c r="D60" s="1" t="s">
        <v>104</v>
      </c>
      <c r="E60" s="28" t="s">
        <v>504</v>
      </c>
    </row>
    <row r="63" spans="1:2" ht="15">
      <c r="A63" s="23" t="s">
        <v>55</v>
      </c>
      <c r="B63" s="23"/>
    </row>
    <row r="64" spans="1:2" ht="14.25">
      <c r="A64" s="24"/>
      <c r="B64" s="25" t="s">
        <v>105</v>
      </c>
    </row>
    <row r="65" spans="1:5" ht="15">
      <c r="A65" s="26" t="s">
        <v>57</v>
      </c>
      <c r="B65" s="26" t="s">
        <v>58</v>
      </c>
      <c r="C65" s="26" t="s">
        <v>59</v>
      </c>
      <c r="D65" s="26" t="s">
        <v>60</v>
      </c>
      <c r="E65" s="26" t="s">
        <v>106</v>
      </c>
    </row>
    <row r="66" spans="1:5" ht="12.75">
      <c r="A66" s="27" t="s">
        <v>505</v>
      </c>
      <c r="B66" s="1" t="s">
        <v>506</v>
      </c>
      <c r="C66" s="1" t="s">
        <v>213</v>
      </c>
      <c r="D66" s="1" t="s">
        <v>259</v>
      </c>
      <c r="E66" s="28" t="s">
        <v>507</v>
      </c>
    </row>
    <row r="67" spans="1:5" ht="12.75">
      <c r="A67" s="27" t="s">
        <v>508</v>
      </c>
      <c r="B67" s="1" t="s">
        <v>273</v>
      </c>
      <c r="C67" s="1" t="s">
        <v>177</v>
      </c>
      <c r="D67" s="1" t="s">
        <v>455</v>
      </c>
      <c r="E67" s="28" t="s">
        <v>509</v>
      </c>
    </row>
    <row r="68" spans="1:5" ht="12.75">
      <c r="A68" s="27" t="s">
        <v>510</v>
      </c>
      <c r="B68" s="1" t="s">
        <v>108</v>
      </c>
      <c r="C68" s="1" t="s">
        <v>213</v>
      </c>
      <c r="D68" s="1" t="s">
        <v>103</v>
      </c>
      <c r="E68" s="28" t="s">
        <v>511</v>
      </c>
    </row>
    <row r="70" spans="1:2" ht="14.25">
      <c r="A70" s="24"/>
      <c r="B70" s="25" t="s">
        <v>56</v>
      </c>
    </row>
    <row r="71" spans="1:5" ht="15">
      <c r="A71" s="26" t="s">
        <v>57</v>
      </c>
      <c r="B71" s="26" t="s">
        <v>58</v>
      </c>
      <c r="C71" s="26" t="s">
        <v>59</v>
      </c>
      <c r="D71" s="26" t="s">
        <v>60</v>
      </c>
      <c r="E71" s="26" t="s">
        <v>106</v>
      </c>
    </row>
    <row r="72" spans="1:5" ht="12.75">
      <c r="A72" s="27" t="s">
        <v>169</v>
      </c>
      <c r="B72" s="1" t="s">
        <v>56</v>
      </c>
      <c r="C72" s="1" t="s">
        <v>135</v>
      </c>
      <c r="D72" s="1" t="s">
        <v>494</v>
      </c>
      <c r="E72" s="28" t="s">
        <v>512</v>
      </c>
    </row>
    <row r="73" spans="1:5" ht="12.75">
      <c r="A73" s="27" t="s">
        <v>176</v>
      </c>
      <c r="B73" s="1" t="s">
        <v>56</v>
      </c>
      <c r="C73" s="1" t="s">
        <v>177</v>
      </c>
      <c r="D73" s="1" t="s">
        <v>260</v>
      </c>
      <c r="E73" s="28" t="s">
        <v>513</v>
      </c>
    </row>
    <row r="74" spans="1:5" ht="12.75">
      <c r="A74" s="27" t="s">
        <v>172</v>
      </c>
      <c r="B74" s="1" t="s">
        <v>56</v>
      </c>
      <c r="C74" s="1" t="s">
        <v>173</v>
      </c>
      <c r="D74" s="1" t="s">
        <v>416</v>
      </c>
      <c r="E74" s="28" t="s">
        <v>514</v>
      </c>
    </row>
    <row r="75" spans="1:5" ht="12.75">
      <c r="A75" s="27" t="s">
        <v>505</v>
      </c>
      <c r="B75" s="1" t="s">
        <v>56</v>
      </c>
      <c r="C75" s="1" t="s">
        <v>213</v>
      </c>
      <c r="D75" s="1" t="s">
        <v>259</v>
      </c>
      <c r="E75" s="28" t="s">
        <v>515</v>
      </c>
    </row>
    <row r="76" spans="1:5" ht="12.75">
      <c r="A76" s="27" t="s">
        <v>208</v>
      </c>
      <c r="B76" s="1" t="s">
        <v>56</v>
      </c>
      <c r="C76" s="1" t="s">
        <v>209</v>
      </c>
      <c r="D76" s="1" t="s">
        <v>202</v>
      </c>
      <c r="E76" s="28" t="s">
        <v>516</v>
      </c>
    </row>
    <row r="77" spans="1:5" ht="12.75">
      <c r="A77" s="27" t="s">
        <v>62</v>
      </c>
      <c r="B77" s="1" t="s">
        <v>56</v>
      </c>
      <c r="C77" s="1" t="s">
        <v>109</v>
      </c>
      <c r="D77" s="1" t="s">
        <v>193</v>
      </c>
      <c r="E77" s="28" t="s">
        <v>517</v>
      </c>
    </row>
    <row r="79" spans="1:2" ht="14.25">
      <c r="A79" s="24"/>
      <c r="B79" s="25" t="s">
        <v>72</v>
      </c>
    </row>
    <row r="80" spans="1:5" ht="15">
      <c r="A80" s="26" t="s">
        <v>57</v>
      </c>
      <c r="B80" s="26" t="s">
        <v>58</v>
      </c>
      <c r="C80" s="26" t="s">
        <v>59</v>
      </c>
      <c r="D80" s="26" t="s">
        <v>60</v>
      </c>
      <c r="E80" s="26" t="s">
        <v>106</v>
      </c>
    </row>
    <row r="81" spans="1:5" ht="12.75">
      <c r="A81" s="27" t="s">
        <v>518</v>
      </c>
      <c r="B81" s="1" t="s">
        <v>519</v>
      </c>
      <c r="C81" s="1" t="s">
        <v>177</v>
      </c>
      <c r="D81" s="1" t="s">
        <v>254</v>
      </c>
      <c r="E81" s="28" t="s">
        <v>520</v>
      </c>
    </row>
    <row r="82" spans="1:5" ht="12.75">
      <c r="A82" s="27" t="s">
        <v>521</v>
      </c>
      <c r="B82" s="1" t="s">
        <v>522</v>
      </c>
      <c r="C82" s="1" t="s">
        <v>209</v>
      </c>
      <c r="D82" s="1" t="s">
        <v>523</v>
      </c>
      <c r="E82" s="28" t="s">
        <v>524</v>
      </c>
    </row>
    <row r="83" spans="1:5" ht="12.75">
      <c r="A83" s="27" t="s">
        <v>180</v>
      </c>
      <c r="B83" s="1" t="s">
        <v>73</v>
      </c>
      <c r="C83" s="1" t="s">
        <v>177</v>
      </c>
      <c r="D83" s="1" t="s">
        <v>259</v>
      </c>
      <c r="E83" s="28" t="s">
        <v>525</v>
      </c>
    </row>
    <row r="84" spans="1:5" ht="12.75">
      <c r="A84" s="27" t="s">
        <v>526</v>
      </c>
      <c r="B84" s="1" t="s">
        <v>73</v>
      </c>
      <c r="C84" s="1" t="s">
        <v>213</v>
      </c>
      <c r="D84" s="1" t="s">
        <v>193</v>
      </c>
      <c r="E84" s="28" t="s">
        <v>527</v>
      </c>
    </row>
    <row r="85" spans="1:5" ht="12.75">
      <c r="A85" s="27" t="s">
        <v>62</v>
      </c>
      <c r="B85" s="1" t="s">
        <v>73</v>
      </c>
      <c r="C85" s="1" t="s">
        <v>109</v>
      </c>
      <c r="D85" s="1" t="s">
        <v>193</v>
      </c>
      <c r="E85" s="28" t="s">
        <v>528</v>
      </c>
    </row>
    <row r="86" spans="1:5" ht="12.75">
      <c r="A86" s="27" t="s">
        <v>529</v>
      </c>
      <c r="B86" s="1" t="s">
        <v>522</v>
      </c>
      <c r="C86" s="1" t="s">
        <v>109</v>
      </c>
      <c r="D86" s="1" t="s">
        <v>530</v>
      </c>
      <c r="E86" s="28" t="s">
        <v>531</v>
      </c>
    </row>
  </sheetData>
  <sheetProtection selectLockedCells="1" selectUnlockedCells="1"/>
  <mergeCells count="21">
    <mergeCell ref="L3:L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24:L24"/>
    <mergeCell ref="A30:L30"/>
    <mergeCell ref="A35:L35"/>
    <mergeCell ref="A39:L39"/>
    <mergeCell ref="A42:L42"/>
    <mergeCell ref="M3:M4"/>
    <mergeCell ref="A5:L5"/>
    <mergeCell ref="A8:L8"/>
    <mergeCell ref="A11:L11"/>
    <mergeCell ref="A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7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6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4.375" style="1" customWidth="1"/>
    <col min="7" max="9" width="6.875" style="3" customWidth="1"/>
    <col min="10" max="10" width="4.875" style="3" customWidth="1"/>
    <col min="11" max="11" width="7.875" style="1" customWidth="1"/>
    <col min="12" max="12" width="7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6" t="s">
        <v>537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185</v>
      </c>
      <c r="H3" s="45"/>
      <c r="I3" s="45"/>
      <c r="J3" s="45"/>
      <c r="K3" s="44" t="s">
        <v>113</v>
      </c>
      <c r="L3" s="44" t="s">
        <v>10</v>
      </c>
      <c r="M3" s="40" t="s">
        <v>11</v>
      </c>
    </row>
    <row r="4" spans="1:13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44"/>
      <c r="L4" s="44"/>
      <c r="M4" s="40"/>
    </row>
    <row r="5" spans="1:12" ht="15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14" t="s">
        <v>36</v>
      </c>
      <c r="B6" s="14" t="s">
        <v>37</v>
      </c>
      <c r="C6" s="14" t="s">
        <v>38</v>
      </c>
      <c r="D6" s="14" t="str">
        <f>"0,5853"</f>
        <v>0,5853</v>
      </c>
      <c r="E6" s="14" t="s">
        <v>39</v>
      </c>
      <c r="F6" s="14" t="s">
        <v>40</v>
      </c>
      <c r="G6" s="15" t="s">
        <v>306</v>
      </c>
      <c r="H6" s="15" t="s">
        <v>459</v>
      </c>
      <c r="I6" s="15" t="s">
        <v>296</v>
      </c>
      <c r="J6" s="35"/>
      <c r="K6" s="14" t="str">
        <f>"142,5"</f>
        <v>142,5</v>
      </c>
      <c r="L6" s="15" t="str">
        <f>"83,4053"</f>
        <v>83,4053</v>
      </c>
      <c r="M6" s="14" t="s">
        <v>43</v>
      </c>
    </row>
    <row r="7" spans="1:13" ht="12.75">
      <c r="A7" s="20" t="s">
        <v>36</v>
      </c>
      <c r="B7" s="20" t="s">
        <v>54</v>
      </c>
      <c r="C7" s="20" t="s">
        <v>38</v>
      </c>
      <c r="D7" s="20" t="str">
        <f>"0,5853"</f>
        <v>0,5853</v>
      </c>
      <c r="E7" s="20" t="s">
        <v>39</v>
      </c>
      <c r="F7" s="20" t="s">
        <v>40</v>
      </c>
      <c r="G7" s="21" t="s">
        <v>306</v>
      </c>
      <c r="H7" s="21" t="s">
        <v>459</v>
      </c>
      <c r="I7" s="21" t="s">
        <v>296</v>
      </c>
      <c r="J7" s="36"/>
      <c r="K7" s="20" t="str">
        <f>"142,5"</f>
        <v>142,5</v>
      </c>
      <c r="L7" s="21" t="str">
        <f>"84,9065"</f>
        <v>84,9065</v>
      </c>
      <c r="M7" s="20" t="s">
        <v>43</v>
      </c>
    </row>
    <row r="9" ht="15">
      <c r="E9" s="12" t="s">
        <v>24</v>
      </c>
    </row>
    <row r="10" ht="15">
      <c r="E10" s="12" t="s">
        <v>25</v>
      </c>
    </row>
    <row r="11" ht="15">
      <c r="E11" s="12" t="s">
        <v>26</v>
      </c>
    </row>
    <row r="12" ht="15">
      <c r="E12" s="12" t="s">
        <v>27</v>
      </c>
    </row>
    <row r="13" ht="15">
      <c r="E13" s="12" t="s">
        <v>27</v>
      </c>
    </row>
    <row r="14" ht="15">
      <c r="E14" s="12" t="s">
        <v>28</v>
      </c>
    </row>
    <row r="15" ht="15">
      <c r="E15" s="12"/>
    </row>
    <row r="17" spans="1:2" ht="18">
      <c r="A17" s="13" t="s">
        <v>29</v>
      </c>
      <c r="B17" s="13"/>
    </row>
    <row r="18" spans="1:2" ht="15">
      <c r="A18" s="23" t="s">
        <v>55</v>
      </c>
      <c r="B18" s="23"/>
    </row>
    <row r="19" spans="1:2" ht="14.25">
      <c r="A19" s="24"/>
      <c r="B19" s="25" t="s">
        <v>56</v>
      </c>
    </row>
    <row r="20" spans="1:5" ht="15">
      <c r="A20" s="26" t="s">
        <v>57</v>
      </c>
      <c r="B20" s="26" t="s">
        <v>58</v>
      </c>
      <c r="C20" s="26" t="s">
        <v>59</v>
      </c>
      <c r="D20" s="26" t="s">
        <v>60</v>
      </c>
      <c r="E20" s="26" t="s">
        <v>106</v>
      </c>
    </row>
    <row r="21" spans="1:5" ht="12.75">
      <c r="A21" s="27" t="s">
        <v>62</v>
      </c>
      <c r="B21" s="1" t="s">
        <v>56</v>
      </c>
      <c r="C21" s="1" t="s">
        <v>109</v>
      </c>
      <c r="D21" s="1" t="s">
        <v>194</v>
      </c>
      <c r="E21" s="28" t="s">
        <v>538</v>
      </c>
    </row>
    <row r="23" spans="1:2" ht="14.25">
      <c r="A23" s="24"/>
      <c r="B23" s="25" t="s">
        <v>72</v>
      </c>
    </row>
    <row r="24" spans="1:5" ht="15">
      <c r="A24" s="26" t="s">
        <v>57</v>
      </c>
      <c r="B24" s="26" t="s">
        <v>58</v>
      </c>
      <c r="C24" s="26" t="s">
        <v>59</v>
      </c>
      <c r="D24" s="26" t="s">
        <v>60</v>
      </c>
      <c r="E24" s="26" t="s">
        <v>106</v>
      </c>
    </row>
    <row r="25" spans="1:5" ht="12.75">
      <c r="A25" s="27" t="s">
        <v>62</v>
      </c>
      <c r="B25" s="1" t="s">
        <v>73</v>
      </c>
      <c r="C25" s="1" t="s">
        <v>109</v>
      </c>
      <c r="D25" s="1" t="s">
        <v>194</v>
      </c>
      <c r="E25" s="28" t="s">
        <v>539</v>
      </c>
    </row>
  </sheetData>
  <sheetProtection selectLockedCells="1" selectUnlockedCells="1"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75390625" style="1" customWidth="1"/>
    <col min="7" max="9" width="6.875" style="3" customWidth="1"/>
    <col min="10" max="10" width="4.875" style="3" customWidth="1"/>
    <col min="11" max="13" width="6.875" style="3" customWidth="1"/>
    <col min="14" max="14" width="4.875" style="3" customWidth="1"/>
    <col min="15" max="17" width="6.875" style="3" customWidth="1"/>
    <col min="18" max="18" width="4.875" style="3" customWidth="1"/>
    <col min="19" max="19" width="7.875" style="1" customWidth="1"/>
    <col min="20" max="20" width="8.62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540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5" t="s">
        <v>185</v>
      </c>
      <c r="L3" s="45"/>
      <c r="M3" s="45"/>
      <c r="N3" s="45"/>
      <c r="O3" s="45" t="s">
        <v>186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5" spans="1:20" ht="15">
      <c r="A5" s="47" t="s">
        <v>248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29" t="s">
        <v>541</v>
      </c>
      <c r="B6" s="29" t="s">
        <v>542</v>
      </c>
      <c r="C6" s="29" t="s">
        <v>543</v>
      </c>
      <c r="D6" s="29" t="str">
        <f>"0,7954"</f>
        <v>0,7954</v>
      </c>
      <c r="E6" s="29" t="s">
        <v>39</v>
      </c>
      <c r="F6" s="29" t="s">
        <v>47</v>
      </c>
      <c r="G6" s="30" t="s">
        <v>466</v>
      </c>
      <c r="H6" s="30" t="s">
        <v>289</v>
      </c>
      <c r="I6" s="30" t="s">
        <v>312</v>
      </c>
      <c r="J6" s="32"/>
      <c r="K6" s="30" t="s">
        <v>444</v>
      </c>
      <c r="L6" s="30" t="s">
        <v>284</v>
      </c>
      <c r="M6" s="32" t="s">
        <v>101</v>
      </c>
      <c r="N6" s="32"/>
      <c r="O6" s="30" t="s">
        <v>254</v>
      </c>
      <c r="P6" s="30" t="s">
        <v>302</v>
      </c>
      <c r="Q6" s="30" t="s">
        <v>312</v>
      </c>
      <c r="R6" s="32"/>
      <c r="S6" s="29" t="s">
        <v>544</v>
      </c>
      <c r="T6" s="30" t="str">
        <f>"234,6283"</f>
        <v>234,6283</v>
      </c>
      <c r="U6" s="29" t="s">
        <v>43</v>
      </c>
    </row>
    <row r="8" spans="1:20" ht="15">
      <c r="A8" s="48" t="s">
        <v>154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29" t="s">
        <v>545</v>
      </c>
      <c r="B9" s="29" t="s">
        <v>546</v>
      </c>
      <c r="C9" s="29" t="s">
        <v>547</v>
      </c>
      <c r="D9" s="29" t="str">
        <f>"0,5389"</f>
        <v>0,5389</v>
      </c>
      <c r="E9" s="29" t="s">
        <v>39</v>
      </c>
      <c r="F9" s="29" t="s">
        <v>47</v>
      </c>
      <c r="G9" s="30" t="s">
        <v>382</v>
      </c>
      <c r="H9" s="30" t="s">
        <v>344</v>
      </c>
      <c r="I9" s="30" t="s">
        <v>548</v>
      </c>
      <c r="J9" s="32"/>
      <c r="K9" s="30" t="s">
        <v>339</v>
      </c>
      <c r="L9" s="30" t="s">
        <v>327</v>
      </c>
      <c r="M9" s="30" t="s">
        <v>548</v>
      </c>
      <c r="N9" s="32"/>
      <c r="O9" s="30" t="s">
        <v>339</v>
      </c>
      <c r="P9" s="30" t="s">
        <v>327</v>
      </c>
      <c r="Q9" s="30" t="s">
        <v>548</v>
      </c>
      <c r="R9" s="32"/>
      <c r="S9" s="29" t="s">
        <v>549</v>
      </c>
      <c r="T9" s="30" t="str">
        <f>"404,1750"</f>
        <v>404,1750</v>
      </c>
      <c r="U9" s="29" t="s">
        <v>43</v>
      </c>
    </row>
    <row r="11" ht="15">
      <c r="E11" s="12" t="s">
        <v>24</v>
      </c>
    </row>
    <row r="12" ht="15">
      <c r="E12" s="12" t="s">
        <v>25</v>
      </c>
    </row>
    <row r="13" ht="15">
      <c r="E13" s="12" t="s">
        <v>26</v>
      </c>
    </row>
    <row r="14" ht="15">
      <c r="E14" s="12" t="s">
        <v>27</v>
      </c>
    </row>
    <row r="15" ht="15">
      <c r="E15" s="12" t="s">
        <v>27</v>
      </c>
    </row>
    <row r="16" ht="15">
      <c r="E16" s="12" t="s">
        <v>28</v>
      </c>
    </row>
    <row r="17" ht="15">
      <c r="E17" s="12"/>
    </row>
    <row r="19" spans="1:2" ht="18">
      <c r="A19" s="13" t="s">
        <v>29</v>
      </c>
      <c r="B19" s="13"/>
    </row>
    <row r="20" spans="1:2" ht="15">
      <c r="A20" s="23" t="s">
        <v>86</v>
      </c>
      <c r="B20" s="23"/>
    </row>
    <row r="21" spans="1:2" ht="14.25">
      <c r="A21" s="24"/>
      <c r="B21" s="25" t="s">
        <v>56</v>
      </c>
    </row>
    <row r="22" spans="1:5" ht="15">
      <c r="A22" s="26" t="s">
        <v>57</v>
      </c>
      <c r="B22" s="26" t="s">
        <v>58</v>
      </c>
      <c r="C22" s="26" t="s">
        <v>59</v>
      </c>
      <c r="D22" s="26" t="s">
        <v>60</v>
      </c>
      <c r="E22" s="26" t="s">
        <v>106</v>
      </c>
    </row>
    <row r="23" spans="1:5" ht="12.75">
      <c r="A23" s="27" t="s">
        <v>550</v>
      </c>
      <c r="B23" s="1" t="s">
        <v>56</v>
      </c>
      <c r="C23" s="1" t="s">
        <v>270</v>
      </c>
      <c r="D23" s="1" t="s">
        <v>551</v>
      </c>
      <c r="E23" s="28" t="s">
        <v>552</v>
      </c>
    </row>
    <row r="26" spans="1:2" ht="15">
      <c r="A26" s="23" t="s">
        <v>55</v>
      </c>
      <c r="B26" s="23"/>
    </row>
    <row r="27" spans="1:2" ht="14.25">
      <c r="A27" s="24"/>
      <c r="B27" s="25" t="s">
        <v>56</v>
      </c>
    </row>
    <row r="28" spans="1:5" ht="15">
      <c r="A28" s="26" t="s">
        <v>57</v>
      </c>
      <c r="B28" s="26" t="s">
        <v>58</v>
      </c>
      <c r="C28" s="26" t="s">
        <v>59</v>
      </c>
      <c r="D28" s="26" t="s">
        <v>60</v>
      </c>
      <c r="E28" s="26" t="s">
        <v>106</v>
      </c>
    </row>
    <row r="29" spans="1:5" ht="12.75">
      <c r="A29" s="27" t="s">
        <v>553</v>
      </c>
      <c r="B29" s="1" t="s">
        <v>56</v>
      </c>
      <c r="C29" s="1" t="s">
        <v>173</v>
      </c>
      <c r="D29" s="1" t="s">
        <v>554</v>
      </c>
      <c r="E29" s="28" t="s">
        <v>555</v>
      </c>
    </row>
  </sheetData>
  <sheetProtection selectLockedCells="1" selectUnlockedCells="1"/>
  <mergeCells count="15"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556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5" t="s">
        <v>7</v>
      </c>
      <c r="L3" s="45"/>
      <c r="M3" s="45"/>
      <c r="N3" s="45"/>
      <c r="O3" s="45" t="s">
        <v>8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6">
      <selection activeCell="G6" sqref="G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4.375" style="1" customWidth="1"/>
    <col min="7" max="8" width="6.875" style="3" customWidth="1"/>
    <col min="9" max="9" width="5.625" style="3" customWidth="1"/>
    <col min="10" max="10" width="4.875" style="3" customWidth="1"/>
    <col min="11" max="12" width="6.875" style="3" customWidth="1"/>
    <col min="13" max="13" width="5.625" style="3" customWidth="1"/>
    <col min="14" max="14" width="4.875" style="3" customWidth="1"/>
    <col min="15" max="16" width="6.875" style="3" customWidth="1"/>
    <col min="17" max="17" width="5.625" style="3" customWidth="1"/>
    <col min="18" max="18" width="4.875" style="3" customWidth="1"/>
    <col min="19" max="19" width="7.875" style="1" customWidth="1"/>
    <col min="20" max="20" width="8.62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557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5" t="s">
        <v>185</v>
      </c>
      <c r="L3" s="45"/>
      <c r="M3" s="45"/>
      <c r="N3" s="45"/>
      <c r="O3" s="45" t="s">
        <v>186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5" spans="1:20" ht="15">
      <c r="A5" s="47" t="s">
        <v>198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29" t="s">
        <v>558</v>
      </c>
      <c r="B6" s="29" t="s">
        <v>559</v>
      </c>
      <c r="C6" s="29" t="s">
        <v>560</v>
      </c>
      <c r="D6" s="29" t="str">
        <f>"0,5560"</f>
        <v>0,5560</v>
      </c>
      <c r="E6" s="29" t="s">
        <v>39</v>
      </c>
      <c r="F6" s="29" t="s">
        <v>40</v>
      </c>
      <c r="G6" s="30" t="s">
        <v>405</v>
      </c>
      <c r="H6" s="30" t="s">
        <v>344</v>
      </c>
      <c r="I6" s="32" t="s">
        <v>356</v>
      </c>
      <c r="J6" s="32"/>
      <c r="K6" s="30" t="s">
        <v>460</v>
      </c>
      <c r="L6" s="30" t="s">
        <v>491</v>
      </c>
      <c r="M6" s="32" t="s">
        <v>203</v>
      </c>
      <c r="N6" s="32"/>
      <c r="O6" s="30" t="s">
        <v>406</v>
      </c>
      <c r="P6" s="30" t="s">
        <v>561</v>
      </c>
      <c r="Q6" s="32" t="s">
        <v>562</v>
      </c>
      <c r="R6" s="32"/>
      <c r="S6" s="29" t="s">
        <v>563</v>
      </c>
      <c r="T6" s="30" t="str">
        <f>"355,8400"</f>
        <v>355,8400</v>
      </c>
      <c r="U6" s="29" t="s">
        <v>43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56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564</v>
      </c>
      <c r="B20" s="1" t="s">
        <v>56</v>
      </c>
      <c r="C20" s="1" t="s">
        <v>209</v>
      </c>
      <c r="D20" s="1" t="s">
        <v>565</v>
      </c>
      <c r="E20" s="28" t="s">
        <v>566</v>
      </c>
    </row>
  </sheetData>
  <sheetProtection selectLockedCells="1" selectUnlockedCells="1"/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8.125" style="1" customWidth="1"/>
    <col min="7" max="9" width="6.875" style="3" customWidth="1"/>
    <col min="10" max="10" width="4.875" style="3" customWidth="1"/>
    <col min="11" max="13" width="6.875" style="3" customWidth="1"/>
    <col min="14" max="14" width="4.875" style="3" customWidth="1"/>
    <col min="15" max="17" width="6.875" style="3" customWidth="1"/>
    <col min="18" max="18" width="4.875" style="3" customWidth="1"/>
    <col min="19" max="19" width="7.875" style="1" customWidth="1"/>
    <col min="20" max="20" width="8.625" style="3" customWidth="1"/>
    <col min="21" max="21" width="10.125" style="1" customWidth="1"/>
    <col min="22" max="16384" width="9.125" style="3" customWidth="1"/>
  </cols>
  <sheetData>
    <row r="1" spans="1:21" s="5" customFormat="1" ht="28.5" customHeight="1">
      <c r="A1" s="46" t="s">
        <v>567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5" t="s">
        <v>185</v>
      </c>
      <c r="L3" s="45"/>
      <c r="M3" s="45"/>
      <c r="N3" s="45"/>
      <c r="O3" s="45" t="s">
        <v>186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5" spans="1:20" ht="15">
      <c r="A5" s="47" t="s">
        <v>568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29" t="s">
        <v>569</v>
      </c>
      <c r="B6" s="29" t="s">
        <v>570</v>
      </c>
      <c r="C6" s="29" t="s">
        <v>571</v>
      </c>
      <c r="D6" s="29" t="str">
        <f>"0,9817"</f>
        <v>0,9817</v>
      </c>
      <c r="E6" s="29" t="s">
        <v>39</v>
      </c>
      <c r="F6" s="29" t="s">
        <v>294</v>
      </c>
      <c r="G6" s="30" t="s">
        <v>572</v>
      </c>
      <c r="H6" s="30" t="s">
        <v>445</v>
      </c>
      <c r="I6" s="30" t="s">
        <v>284</v>
      </c>
      <c r="J6" s="32"/>
      <c r="K6" s="30" t="s">
        <v>573</v>
      </c>
      <c r="L6" s="30" t="s">
        <v>574</v>
      </c>
      <c r="M6" s="30" t="s">
        <v>575</v>
      </c>
      <c r="N6" s="32"/>
      <c r="O6" s="30" t="s">
        <v>284</v>
      </c>
      <c r="P6" s="32" t="s">
        <v>146</v>
      </c>
      <c r="Q6" s="30" t="s">
        <v>470</v>
      </c>
      <c r="R6" s="32"/>
      <c r="S6" s="29" t="s">
        <v>576</v>
      </c>
      <c r="T6" s="30" t="str">
        <f>"217,3484"</f>
        <v>217,3484</v>
      </c>
      <c r="U6" s="29" t="s">
        <v>43</v>
      </c>
    </row>
    <row r="8" spans="1:20" ht="15">
      <c r="A8" s="48" t="s">
        <v>140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29" t="s">
        <v>577</v>
      </c>
      <c r="B9" s="29" t="s">
        <v>578</v>
      </c>
      <c r="C9" s="29" t="s">
        <v>579</v>
      </c>
      <c r="D9" s="29" t="str">
        <f>"0,7355"</f>
        <v>0,7355</v>
      </c>
      <c r="E9" s="29" t="s">
        <v>39</v>
      </c>
      <c r="F9" s="29" t="s">
        <v>301</v>
      </c>
      <c r="G9" s="30" t="s">
        <v>466</v>
      </c>
      <c r="H9" s="32" t="s">
        <v>288</v>
      </c>
      <c r="I9" s="30" t="s">
        <v>302</v>
      </c>
      <c r="J9" s="32"/>
      <c r="K9" s="32" t="s">
        <v>580</v>
      </c>
      <c r="L9" s="30" t="s">
        <v>445</v>
      </c>
      <c r="M9" s="32" t="s">
        <v>119</v>
      </c>
      <c r="N9" s="32"/>
      <c r="O9" s="30" t="s">
        <v>302</v>
      </c>
      <c r="P9" s="32" t="s">
        <v>581</v>
      </c>
      <c r="Q9" s="32" t="s">
        <v>581</v>
      </c>
      <c r="R9" s="32"/>
      <c r="S9" s="29" t="s">
        <v>582</v>
      </c>
      <c r="T9" s="30" t="str">
        <f>"207,7646"</f>
        <v>207,7646</v>
      </c>
      <c r="U9" s="29" t="s">
        <v>43</v>
      </c>
    </row>
    <row r="11" spans="1:20" ht="15">
      <c r="A11" s="48" t="s">
        <v>248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.75">
      <c r="A12" s="29" t="s">
        <v>583</v>
      </c>
      <c r="B12" s="29" t="s">
        <v>584</v>
      </c>
      <c r="C12" s="29" t="s">
        <v>585</v>
      </c>
      <c r="D12" s="29" t="str">
        <f>"0,7851"</f>
        <v>0,7851</v>
      </c>
      <c r="E12" s="29" t="s">
        <v>39</v>
      </c>
      <c r="F12" s="29" t="s">
        <v>301</v>
      </c>
      <c r="G12" s="30" t="s">
        <v>586</v>
      </c>
      <c r="H12" s="30" t="s">
        <v>587</v>
      </c>
      <c r="I12" s="32" t="s">
        <v>253</v>
      </c>
      <c r="J12" s="32"/>
      <c r="K12" s="32" t="s">
        <v>119</v>
      </c>
      <c r="L12" s="30" t="s">
        <v>588</v>
      </c>
      <c r="M12" s="30" t="s">
        <v>589</v>
      </c>
      <c r="N12" s="32"/>
      <c r="O12" s="30" t="s">
        <v>287</v>
      </c>
      <c r="P12" s="30" t="s">
        <v>466</v>
      </c>
      <c r="Q12" s="30" t="s">
        <v>590</v>
      </c>
      <c r="R12" s="32"/>
      <c r="S12" s="29" t="str">
        <f>"262,5"</f>
        <v>262,5</v>
      </c>
      <c r="T12" s="30" t="str">
        <f>"222,5758"</f>
        <v>222,5758</v>
      </c>
      <c r="U12" s="29" t="s">
        <v>43</v>
      </c>
    </row>
    <row r="14" spans="1:20" ht="15">
      <c r="A14" s="48" t="s">
        <v>140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 ht="12.75">
      <c r="A15" s="14" t="s">
        <v>591</v>
      </c>
      <c r="B15" s="14" t="s">
        <v>592</v>
      </c>
      <c r="C15" s="14" t="s">
        <v>593</v>
      </c>
      <c r="D15" s="14" t="str">
        <f>"0,6645"</f>
        <v>0,6645</v>
      </c>
      <c r="E15" s="14" t="s">
        <v>39</v>
      </c>
      <c r="F15" s="14" t="s">
        <v>301</v>
      </c>
      <c r="G15" s="15" t="s">
        <v>457</v>
      </c>
      <c r="H15" s="15" t="s">
        <v>491</v>
      </c>
      <c r="I15" s="15" t="s">
        <v>492</v>
      </c>
      <c r="J15" s="35"/>
      <c r="K15" s="15" t="s">
        <v>312</v>
      </c>
      <c r="L15" s="15" t="s">
        <v>306</v>
      </c>
      <c r="M15" s="15" t="s">
        <v>594</v>
      </c>
      <c r="N15" s="35"/>
      <c r="O15" s="15" t="s">
        <v>416</v>
      </c>
      <c r="P15" s="15" t="s">
        <v>595</v>
      </c>
      <c r="Q15" s="35" t="s">
        <v>596</v>
      </c>
      <c r="R15" s="35"/>
      <c r="S15" s="14" t="s">
        <v>597</v>
      </c>
      <c r="T15" s="15" t="str">
        <f>"322,2825"</f>
        <v>322,2825</v>
      </c>
      <c r="U15" s="14" t="s">
        <v>43</v>
      </c>
    </row>
    <row r="16" spans="1:21" ht="12.75">
      <c r="A16" s="17" t="s">
        <v>598</v>
      </c>
      <c r="B16" s="17" t="s">
        <v>599</v>
      </c>
      <c r="C16" s="17" t="s">
        <v>600</v>
      </c>
      <c r="D16" s="17" t="str">
        <f>"0,6898"</f>
        <v>0,6898</v>
      </c>
      <c r="E16" s="17" t="s">
        <v>601</v>
      </c>
      <c r="F16" s="17" t="s">
        <v>301</v>
      </c>
      <c r="G16" s="18" t="s">
        <v>369</v>
      </c>
      <c r="H16" s="18" t="s">
        <v>110</v>
      </c>
      <c r="I16" s="18" t="s">
        <v>193</v>
      </c>
      <c r="J16" s="38"/>
      <c r="K16" s="18" t="s">
        <v>455</v>
      </c>
      <c r="L16" s="18" t="s">
        <v>253</v>
      </c>
      <c r="M16" s="38" t="s">
        <v>602</v>
      </c>
      <c r="N16" s="38"/>
      <c r="O16" s="18" t="s">
        <v>202</v>
      </c>
      <c r="P16" s="18" t="s">
        <v>523</v>
      </c>
      <c r="Q16" s="18" t="s">
        <v>195</v>
      </c>
      <c r="R16" s="38"/>
      <c r="S16" s="17" t="str">
        <f>"405,0"</f>
        <v>405,0</v>
      </c>
      <c r="T16" s="18" t="str">
        <f>"279,3690"</f>
        <v>279,3690</v>
      </c>
      <c r="U16" s="17" t="s">
        <v>603</v>
      </c>
    </row>
    <row r="17" spans="1:21" ht="12.75">
      <c r="A17" s="17" t="s">
        <v>604</v>
      </c>
      <c r="B17" s="17" t="s">
        <v>605</v>
      </c>
      <c r="C17" s="17" t="s">
        <v>606</v>
      </c>
      <c r="D17" s="17" t="str">
        <f>"0,6752"</f>
        <v>0,6752</v>
      </c>
      <c r="E17" s="17" t="s">
        <v>607</v>
      </c>
      <c r="F17" s="17" t="s">
        <v>301</v>
      </c>
      <c r="G17" s="18" t="s">
        <v>608</v>
      </c>
      <c r="H17" s="18" t="s">
        <v>259</v>
      </c>
      <c r="I17" s="38" t="s">
        <v>609</v>
      </c>
      <c r="J17" s="38"/>
      <c r="K17" s="18" t="s">
        <v>610</v>
      </c>
      <c r="L17" s="18" t="s">
        <v>254</v>
      </c>
      <c r="M17" s="18" t="s">
        <v>611</v>
      </c>
      <c r="N17" s="38"/>
      <c r="O17" s="38" t="s">
        <v>608</v>
      </c>
      <c r="P17" s="18" t="s">
        <v>259</v>
      </c>
      <c r="Q17" s="38" t="s">
        <v>260</v>
      </c>
      <c r="R17" s="38"/>
      <c r="S17" s="17" t="str">
        <f>"392,5"</f>
        <v>392,5</v>
      </c>
      <c r="T17" s="18" t="str">
        <f>"265,0160"</f>
        <v>265,0160</v>
      </c>
      <c r="U17" s="17" t="s">
        <v>603</v>
      </c>
    </row>
    <row r="18" spans="1:21" ht="12.75">
      <c r="A18" s="20" t="s">
        <v>612</v>
      </c>
      <c r="B18" s="20" t="s">
        <v>613</v>
      </c>
      <c r="C18" s="20" t="s">
        <v>453</v>
      </c>
      <c r="D18" s="20" t="str">
        <f>"0,6760"</f>
        <v>0,6760</v>
      </c>
      <c r="E18" s="20" t="s">
        <v>39</v>
      </c>
      <c r="F18" s="20" t="s">
        <v>294</v>
      </c>
      <c r="G18" s="36" t="s">
        <v>288</v>
      </c>
      <c r="H18" s="21" t="s">
        <v>302</v>
      </c>
      <c r="I18" s="21" t="s">
        <v>306</v>
      </c>
      <c r="J18" s="36"/>
      <c r="K18" s="21" t="s">
        <v>614</v>
      </c>
      <c r="L18" s="21" t="s">
        <v>102</v>
      </c>
      <c r="M18" s="21" t="s">
        <v>471</v>
      </c>
      <c r="N18" s="36"/>
      <c r="O18" s="21" t="s">
        <v>615</v>
      </c>
      <c r="P18" s="21" t="s">
        <v>616</v>
      </c>
      <c r="Q18" s="36" t="s">
        <v>609</v>
      </c>
      <c r="R18" s="36"/>
      <c r="S18" s="20" t="s">
        <v>617</v>
      </c>
      <c r="T18" s="21" t="str">
        <f>"236,6000"</f>
        <v>236,6000</v>
      </c>
      <c r="U18" s="20" t="s">
        <v>297</v>
      </c>
    </row>
    <row r="20" spans="1:20" ht="15">
      <c r="A20" s="48" t="s">
        <v>187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1" ht="12.75">
      <c r="A21" s="14" t="s">
        <v>618</v>
      </c>
      <c r="B21" s="14" t="s">
        <v>619</v>
      </c>
      <c r="C21" s="14" t="s">
        <v>620</v>
      </c>
      <c r="D21" s="14" t="str">
        <f>"0,6307"</f>
        <v>0,6307</v>
      </c>
      <c r="E21" s="14" t="s">
        <v>601</v>
      </c>
      <c r="F21" s="14" t="s">
        <v>621</v>
      </c>
      <c r="G21" s="15" t="s">
        <v>415</v>
      </c>
      <c r="H21" s="15" t="s">
        <v>197</v>
      </c>
      <c r="I21" s="15" t="s">
        <v>382</v>
      </c>
      <c r="J21" s="35"/>
      <c r="K21" s="15" t="s">
        <v>193</v>
      </c>
      <c r="L21" s="15" t="s">
        <v>259</v>
      </c>
      <c r="M21" s="15" t="s">
        <v>260</v>
      </c>
      <c r="N21" s="35"/>
      <c r="O21" s="15" t="s">
        <v>355</v>
      </c>
      <c r="P21" s="35" t="s">
        <v>622</v>
      </c>
      <c r="Q21" s="15" t="s">
        <v>205</v>
      </c>
      <c r="R21" s="35"/>
      <c r="S21" s="14" t="str">
        <f>"585,0"</f>
        <v>585,0</v>
      </c>
      <c r="T21" s="15" t="str">
        <f>"368,9595"</f>
        <v>368,9595</v>
      </c>
      <c r="U21" s="14" t="s">
        <v>43</v>
      </c>
    </row>
    <row r="22" spans="1:21" ht="12.75">
      <c r="A22" s="17" t="s">
        <v>623</v>
      </c>
      <c r="B22" s="17" t="s">
        <v>624</v>
      </c>
      <c r="C22" s="17" t="s">
        <v>625</v>
      </c>
      <c r="D22" s="17" t="str">
        <f>"0,6246"</f>
        <v>0,6246</v>
      </c>
      <c r="E22" s="17" t="s">
        <v>39</v>
      </c>
      <c r="F22" s="17" t="s">
        <v>294</v>
      </c>
      <c r="G22" s="18" t="s">
        <v>321</v>
      </c>
      <c r="H22" s="18" t="s">
        <v>322</v>
      </c>
      <c r="I22" s="38" t="s">
        <v>379</v>
      </c>
      <c r="J22" s="38"/>
      <c r="K22" s="18" t="s">
        <v>343</v>
      </c>
      <c r="L22" s="38" t="s">
        <v>192</v>
      </c>
      <c r="M22" s="38" t="s">
        <v>192</v>
      </c>
      <c r="N22" s="38"/>
      <c r="O22" s="18" t="s">
        <v>626</v>
      </c>
      <c r="P22" s="18" t="s">
        <v>627</v>
      </c>
      <c r="Q22" s="18" t="s">
        <v>628</v>
      </c>
      <c r="R22" s="38"/>
      <c r="S22" s="17" t="s">
        <v>629</v>
      </c>
      <c r="T22" s="18" t="str">
        <f>"332,5995"</f>
        <v>332,5995</v>
      </c>
      <c r="U22" s="17" t="s">
        <v>43</v>
      </c>
    </row>
    <row r="23" spans="1:21" ht="12.75">
      <c r="A23" s="17" t="s">
        <v>630</v>
      </c>
      <c r="B23" s="17" t="s">
        <v>189</v>
      </c>
      <c r="C23" s="17" t="s">
        <v>190</v>
      </c>
      <c r="D23" s="17" t="str">
        <f>"0,6279"</f>
        <v>0,6279</v>
      </c>
      <c r="E23" s="17" t="s">
        <v>39</v>
      </c>
      <c r="F23" s="17" t="s">
        <v>191</v>
      </c>
      <c r="G23" s="18" t="s">
        <v>631</v>
      </c>
      <c r="H23" s="38" t="s">
        <v>632</v>
      </c>
      <c r="I23" s="38" t="s">
        <v>632</v>
      </c>
      <c r="J23" s="38"/>
      <c r="K23" s="18" t="s">
        <v>459</v>
      </c>
      <c r="L23" s="18" t="s">
        <v>615</v>
      </c>
      <c r="M23" s="38" t="s">
        <v>194</v>
      </c>
      <c r="N23" s="38"/>
      <c r="O23" s="18" t="s">
        <v>633</v>
      </c>
      <c r="P23" s="18" t="s">
        <v>196</v>
      </c>
      <c r="Q23" s="38" t="s">
        <v>197</v>
      </c>
      <c r="R23" s="38"/>
      <c r="S23" s="17" t="str">
        <f>"480,0"</f>
        <v>480,0</v>
      </c>
      <c r="T23" s="18" t="str">
        <f>"301,3920"</f>
        <v>301,3920</v>
      </c>
      <c r="U23" s="17" t="s">
        <v>43</v>
      </c>
    </row>
    <row r="24" spans="1:21" ht="12.75">
      <c r="A24" s="20" t="s">
        <v>634</v>
      </c>
      <c r="B24" s="20" t="s">
        <v>635</v>
      </c>
      <c r="C24" s="20" t="s">
        <v>636</v>
      </c>
      <c r="D24" s="20" t="str">
        <f>"0,6341"</f>
        <v>0,6341</v>
      </c>
      <c r="E24" s="20" t="s">
        <v>39</v>
      </c>
      <c r="F24" s="20" t="s">
        <v>47</v>
      </c>
      <c r="G24" s="21" t="s">
        <v>295</v>
      </c>
      <c r="H24" s="21" t="s">
        <v>193</v>
      </c>
      <c r="I24" s="21" t="s">
        <v>260</v>
      </c>
      <c r="J24" s="36"/>
      <c r="K24" s="21" t="s">
        <v>287</v>
      </c>
      <c r="L24" s="21" t="s">
        <v>590</v>
      </c>
      <c r="M24" s="36" t="s">
        <v>530</v>
      </c>
      <c r="N24" s="36"/>
      <c r="O24" s="21" t="s">
        <v>615</v>
      </c>
      <c r="P24" s="21" t="s">
        <v>414</v>
      </c>
      <c r="Q24" s="21" t="s">
        <v>196</v>
      </c>
      <c r="R24" s="36"/>
      <c r="S24" s="20" t="str">
        <f>"435,0"</f>
        <v>435,0</v>
      </c>
      <c r="T24" s="21" t="str">
        <f>"275,8335"</f>
        <v>275,8335</v>
      </c>
      <c r="U24" s="20" t="s">
        <v>43</v>
      </c>
    </row>
    <row r="26" spans="1:20" ht="15">
      <c r="A26" s="48" t="s">
        <v>96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1" ht="12.75">
      <c r="A27" s="29" t="s">
        <v>637</v>
      </c>
      <c r="B27" s="29" t="s">
        <v>638</v>
      </c>
      <c r="C27" s="29" t="s">
        <v>639</v>
      </c>
      <c r="D27" s="29" t="str">
        <f>"0,6004"</f>
        <v>0,6004</v>
      </c>
      <c r="E27" s="29" t="s">
        <v>39</v>
      </c>
      <c r="F27" s="29" t="s">
        <v>294</v>
      </c>
      <c r="G27" s="30" t="s">
        <v>640</v>
      </c>
      <c r="H27" s="30" t="s">
        <v>369</v>
      </c>
      <c r="I27" s="32" t="s">
        <v>226</v>
      </c>
      <c r="J27" s="32"/>
      <c r="K27" s="30" t="s">
        <v>641</v>
      </c>
      <c r="L27" s="30" t="s">
        <v>287</v>
      </c>
      <c r="M27" s="32" t="s">
        <v>254</v>
      </c>
      <c r="N27" s="32"/>
      <c r="O27" s="30" t="s">
        <v>642</v>
      </c>
      <c r="P27" s="30" t="s">
        <v>492</v>
      </c>
      <c r="Q27" s="32" t="s">
        <v>643</v>
      </c>
      <c r="R27" s="32"/>
      <c r="S27" s="29" t="s">
        <v>644</v>
      </c>
      <c r="T27" s="30" t="str">
        <f>"247,1036"</f>
        <v>247,1036</v>
      </c>
      <c r="U27" s="29" t="s">
        <v>297</v>
      </c>
    </row>
    <row r="29" spans="1:20" ht="15">
      <c r="A29" s="48" t="s">
        <v>198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1" ht="12.75">
      <c r="A30" s="29" t="s">
        <v>231</v>
      </c>
      <c r="B30" s="29" t="s">
        <v>232</v>
      </c>
      <c r="C30" s="29" t="s">
        <v>233</v>
      </c>
      <c r="D30" s="29" t="str">
        <f>"0,5740"</f>
        <v>0,5740</v>
      </c>
      <c r="E30" s="29" t="s">
        <v>39</v>
      </c>
      <c r="F30" s="29" t="s">
        <v>40</v>
      </c>
      <c r="G30" s="30" t="s">
        <v>306</v>
      </c>
      <c r="H30" s="32" t="s">
        <v>226</v>
      </c>
      <c r="I30" s="30" t="s">
        <v>615</v>
      </c>
      <c r="J30" s="32"/>
      <c r="K30" s="30" t="s">
        <v>486</v>
      </c>
      <c r="L30" s="32" t="s">
        <v>254</v>
      </c>
      <c r="M30" s="32" t="s">
        <v>254</v>
      </c>
      <c r="N30" s="32"/>
      <c r="O30" s="30" t="s">
        <v>457</v>
      </c>
      <c r="P30" s="30" t="s">
        <v>631</v>
      </c>
      <c r="Q30" s="30" t="s">
        <v>321</v>
      </c>
      <c r="R30" s="32"/>
      <c r="S30" s="29" t="s">
        <v>645</v>
      </c>
      <c r="T30" s="30" t="str">
        <f>"229,6000"</f>
        <v>229,6000</v>
      </c>
      <c r="U30" s="29" t="s">
        <v>43</v>
      </c>
    </row>
    <row r="32" spans="1:20" ht="15">
      <c r="A32" s="48" t="s">
        <v>154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1" ht="12.75">
      <c r="A33" s="14" t="s">
        <v>646</v>
      </c>
      <c r="B33" s="14" t="s">
        <v>647</v>
      </c>
      <c r="C33" s="14" t="s">
        <v>648</v>
      </c>
      <c r="D33" s="14" t="str">
        <f>"0,5396"</f>
        <v>0,5396</v>
      </c>
      <c r="E33" s="14" t="s">
        <v>39</v>
      </c>
      <c r="F33" s="14" t="s">
        <v>294</v>
      </c>
      <c r="G33" s="15" t="s">
        <v>649</v>
      </c>
      <c r="H33" s="15" t="s">
        <v>405</v>
      </c>
      <c r="I33" s="35"/>
      <c r="J33" s="35"/>
      <c r="K33" s="15" t="s">
        <v>650</v>
      </c>
      <c r="L33" s="15" t="s">
        <v>323</v>
      </c>
      <c r="M33" s="35"/>
      <c r="N33" s="35"/>
      <c r="O33" s="15" t="s">
        <v>345</v>
      </c>
      <c r="P33" s="15" t="s">
        <v>651</v>
      </c>
      <c r="Q33" s="15" t="s">
        <v>652</v>
      </c>
      <c r="R33" s="35"/>
      <c r="S33" s="14" t="s">
        <v>653</v>
      </c>
      <c r="T33" s="15" t="str">
        <f>"361,5320"</f>
        <v>361,5320</v>
      </c>
      <c r="U33" s="14" t="s">
        <v>43</v>
      </c>
    </row>
    <row r="34" spans="1:21" ht="12.75">
      <c r="A34" s="17" t="s">
        <v>352</v>
      </c>
      <c r="B34" s="17" t="s">
        <v>353</v>
      </c>
      <c r="C34" s="17" t="s">
        <v>354</v>
      </c>
      <c r="D34" s="17" t="str">
        <f>"0,5410"</f>
        <v>0,5410</v>
      </c>
      <c r="E34" s="17" t="s">
        <v>39</v>
      </c>
      <c r="F34" s="17" t="s">
        <v>301</v>
      </c>
      <c r="G34" s="18" t="s">
        <v>422</v>
      </c>
      <c r="H34" s="18" t="s">
        <v>493</v>
      </c>
      <c r="I34" s="18" t="s">
        <v>654</v>
      </c>
      <c r="J34" s="38"/>
      <c r="K34" s="18" t="s">
        <v>307</v>
      </c>
      <c r="L34" s="18" t="s">
        <v>226</v>
      </c>
      <c r="M34" s="18" t="s">
        <v>192</v>
      </c>
      <c r="N34" s="38"/>
      <c r="O34" s="18" t="s">
        <v>405</v>
      </c>
      <c r="P34" s="18" t="s">
        <v>356</v>
      </c>
      <c r="Q34" s="18" t="s">
        <v>206</v>
      </c>
      <c r="R34" s="38"/>
      <c r="S34" s="17" t="str">
        <f>"582,5"</f>
        <v>582,5</v>
      </c>
      <c r="T34" s="18" t="str">
        <f>"315,1325"</f>
        <v>315,1325</v>
      </c>
      <c r="U34" s="17" t="s">
        <v>43</v>
      </c>
    </row>
    <row r="35" spans="1:21" ht="12.75">
      <c r="A35" s="20" t="s">
        <v>655</v>
      </c>
      <c r="B35" s="20" t="s">
        <v>656</v>
      </c>
      <c r="C35" s="20" t="s">
        <v>657</v>
      </c>
      <c r="D35" s="20" t="str">
        <f>"0,5404"</f>
        <v>0,5404</v>
      </c>
      <c r="E35" s="20" t="s">
        <v>39</v>
      </c>
      <c r="F35" s="20" t="s">
        <v>477</v>
      </c>
      <c r="G35" s="36" t="s">
        <v>622</v>
      </c>
      <c r="H35" s="36" t="s">
        <v>622</v>
      </c>
      <c r="I35" s="36" t="s">
        <v>622</v>
      </c>
      <c r="J35" s="36"/>
      <c r="K35" s="36" t="s">
        <v>260</v>
      </c>
      <c r="L35" s="36"/>
      <c r="M35" s="36"/>
      <c r="N35" s="36"/>
      <c r="O35" s="36" t="s">
        <v>658</v>
      </c>
      <c r="P35" s="36"/>
      <c r="Q35" s="36"/>
      <c r="R35" s="36"/>
      <c r="S35" s="20" t="str">
        <f>"0.00"</f>
        <v>0.00</v>
      </c>
      <c r="T35" s="21" t="str">
        <f>"0,0000"</f>
        <v>0,0000</v>
      </c>
      <c r="U35" s="20" t="s">
        <v>43</v>
      </c>
    </row>
    <row r="37" ht="15">
      <c r="E37" s="12" t="s">
        <v>24</v>
      </c>
    </row>
    <row r="38" ht="15">
      <c r="E38" s="12" t="s">
        <v>25</v>
      </c>
    </row>
    <row r="39" ht="15">
      <c r="E39" s="12" t="s">
        <v>26</v>
      </c>
    </row>
    <row r="40" ht="15">
      <c r="E40" s="12" t="s">
        <v>27</v>
      </c>
    </row>
    <row r="41" ht="15">
      <c r="E41" s="12" t="s">
        <v>27</v>
      </c>
    </row>
    <row r="42" ht="15">
      <c r="E42" s="12" t="s">
        <v>28</v>
      </c>
    </row>
    <row r="43" ht="15">
      <c r="E43" s="12"/>
    </row>
    <row r="45" spans="1:2" ht="18">
      <c r="A45" s="13" t="s">
        <v>29</v>
      </c>
      <c r="B45" s="13"/>
    </row>
    <row r="46" spans="1:2" ht="15">
      <c r="A46" s="23" t="s">
        <v>86</v>
      </c>
      <c r="B46" s="23"/>
    </row>
    <row r="47" spans="1:2" ht="14.25">
      <c r="A47" s="24"/>
      <c r="B47" s="25" t="s">
        <v>659</v>
      </c>
    </row>
    <row r="48" spans="1:5" ht="15">
      <c r="A48" s="26" t="s">
        <v>57</v>
      </c>
      <c r="B48" s="26" t="s">
        <v>58</v>
      </c>
      <c r="C48" s="26" t="s">
        <v>59</v>
      </c>
      <c r="D48" s="26" t="s">
        <v>60</v>
      </c>
      <c r="E48" s="26" t="s">
        <v>106</v>
      </c>
    </row>
    <row r="49" spans="1:5" ht="12.75">
      <c r="A49" s="27" t="s">
        <v>660</v>
      </c>
      <c r="B49" s="1" t="s">
        <v>661</v>
      </c>
      <c r="C49" s="1" t="s">
        <v>662</v>
      </c>
      <c r="D49" s="1" t="s">
        <v>196</v>
      </c>
      <c r="E49" s="28" t="s">
        <v>663</v>
      </c>
    </row>
    <row r="51" spans="1:2" ht="14.25">
      <c r="A51" s="24"/>
      <c r="B51" s="25" t="s">
        <v>56</v>
      </c>
    </row>
    <row r="52" spans="1:5" ht="15">
      <c r="A52" s="26" t="s">
        <v>57</v>
      </c>
      <c r="B52" s="26" t="s">
        <v>58</v>
      </c>
      <c r="C52" s="26" t="s">
        <v>59</v>
      </c>
      <c r="D52" s="26" t="s">
        <v>60</v>
      </c>
      <c r="E52" s="26" t="s">
        <v>106</v>
      </c>
    </row>
    <row r="53" spans="1:5" ht="12.75">
      <c r="A53" s="27" t="s">
        <v>664</v>
      </c>
      <c r="B53" s="1" t="s">
        <v>56</v>
      </c>
      <c r="C53" s="1" t="s">
        <v>177</v>
      </c>
      <c r="D53" s="1" t="s">
        <v>665</v>
      </c>
      <c r="E53" s="28" t="s">
        <v>666</v>
      </c>
    </row>
    <row r="56" spans="1:2" ht="15">
      <c r="A56" s="23" t="s">
        <v>55</v>
      </c>
      <c r="B56" s="23"/>
    </row>
    <row r="57" spans="1:2" ht="14.25">
      <c r="A57" s="24"/>
      <c r="B57" s="25" t="s">
        <v>105</v>
      </c>
    </row>
    <row r="58" spans="1:5" ht="15">
      <c r="A58" s="26" t="s">
        <v>57</v>
      </c>
      <c r="B58" s="26" t="s">
        <v>58</v>
      </c>
      <c r="C58" s="26" t="s">
        <v>59</v>
      </c>
      <c r="D58" s="26" t="s">
        <v>60</v>
      </c>
      <c r="E58" s="26" t="s">
        <v>106</v>
      </c>
    </row>
    <row r="59" spans="1:5" ht="12.75">
      <c r="A59" s="27" t="s">
        <v>667</v>
      </c>
      <c r="B59" s="1" t="s">
        <v>108</v>
      </c>
      <c r="C59" s="1" t="s">
        <v>270</v>
      </c>
      <c r="D59" s="1" t="s">
        <v>668</v>
      </c>
      <c r="E59" s="28" t="s">
        <v>669</v>
      </c>
    </row>
    <row r="61" spans="1:2" ht="14.25">
      <c r="A61" s="24"/>
      <c r="B61" s="25" t="s">
        <v>56</v>
      </c>
    </row>
    <row r="62" spans="1:5" ht="15">
      <c r="A62" s="26" t="s">
        <v>57</v>
      </c>
      <c r="B62" s="26" t="s">
        <v>58</v>
      </c>
      <c r="C62" s="26" t="s">
        <v>59</v>
      </c>
      <c r="D62" s="26" t="s">
        <v>60</v>
      </c>
      <c r="E62" s="26" t="s">
        <v>106</v>
      </c>
    </row>
    <row r="63" spans="1:5" ht="12.75">
      <c r="A63" s="27" t="s">
        <v>670</v>
      </c>
      <c r="B63" s="1" t="s">
        <v>56</v>
      </c>
      <c r="C63" s="1" t="s">
        <v>213</v>
      </c>
      <c r="D63" s="1" t="s">
        <v>671</v>
      </c>
      <c r="E63" s="28" t="s">
        <v>672</v>
      </c>
    </row>
    <row r="64" spans="1:5" ht="12.75">
      <c r="A64" s="27" t="s">
        <v>673</v>
      </c>
      <c r="B64" s="1" t="s">
        <v>56</v>
      </c>
      <c r="C64" s="1" t="s">
        <v>173</v>
      </c>
      <c r="D64" s="1" t="s">
        <v>674</v>
      </c>
      <c r="E64" s="28" t="s">
        <v>675</v>
      </c>
    </row>
    <row r="65" spans="1:5" ht="12.75">
      <c r="A65" s="27" t="s">
        <v>676</v>
      </c>
      <c r="B65" s="1" t="s">
        <v>56</v>
      </c>
      <c r="C65" s="1" t="s">
        <v>213</v>
      </c>
      <c r="D65" s="1" t="s">
        <v>677</v>
      </c>
      <c r="E65" s="28" t="s">
        <v>678</v>
      </c>
    </row>
    <row r="66" spans="1:5" ht="12.75">
      <c r="A66" s="27" t="s">
        <v>679</v>
      </c>
      <c r="B66" s="1" t="s">
        <v>56</v>
      </c>
      <c r="C66" s="1" t="s">
        <v>177</v>
      </c>
      <c r="D66" s="1" t="s">
        <v>680</v>
      </c>
      <c r="E66" s="28" t="s">
        <v>681</v>
      </c>
    </row>
    <row r="67" spans="1:5" ht="12.75">
      <c r="A67" s="27" t="s">
        <v>390</v>
      </c>
      <c r="B67" s="1" t="s">
        <v>56</v>
      </c>
      <c r="C67" s="1" t="s">
        <v>173</v>
      </c>
      <c r="D67" s="1" t="s">
        <v>682</v>
      </c>
      <c r="E67" s="28" t="s">
        <v>683</v>
      </c>
    </row>
    <row r="68" spans="1:5" ht="12.75">
      <c r="A68" s="27" t="s">
        <v>212</v>
      </c>
      <c r="B68" s="1" t="s">
        <v>56</v>
      </c>
      <c r="C68" s="1" t="s">
        <v>213</v>
      </c>
      <c r="D68" s="1" t="s">
        <v>684</v>
      </c>
      <c r="E68" s="28" t="s">
        <v>685</v>
      </c>
    </row>
    <row r="69" spans="1:5" ht="12.75">
      <c r="A69" s="27" t="s">
        <v>686</v>
      </c>
      <c r="B69" s="1" t="s">
        <v>56</v>
      </c>
      <c r="C69" s="1" t="s">
        <v>177</v>
      </c>
      <c r="D69" s="1" t="s">
        <v>687</v>
      </c>
      <c r="E69" s="28" t="s">
        <v>688</v>
      </c>
    </row>
    <row r="70" spans="1:5" ht="12.75">
      <c r="A70" s="27" t="s">
        <v>689</v>
      </c>
      <c r="B70" s="1" t="s">
        <v>56</v>
      </c>
      <c r="C70" s="1" t="s">
        <v>213</v>
      </c>
      <c r="D70" s="1" t="s">
        <v>690</v>
      </c>
      <c r="E70" s="28" t="s">
        <v>691</v>
      </c>
    </row>
    <row r="71" spans="1:5" ht="12.75">
      <c r="A71" s="27" t="s">
        <v>692</v>
      </c>
      <c r="B71" s="1" t="s">
        <v>56</v>
      </c>
      <c r="C71" s="1" t="s">
        <v>177</v>
      </c>
      <c r="D71" s="1" t="s">
        <v>693</v>
      </c>
      <c r="E71" s="28" t="s">
        <v>694</v>
      </c>
    </row>
    <row r="72" spans="1:5" ht="12.75">
      <c r="A72" s="27" t="s">
        <v>695</v>
      </c>
      <c r="B72" s="1" t="s">
        <v>56</v>
      </c>
      <c r="C72" s="1" t="s">
        <v>177</v>
      </c>
      <c r="D72" s="1" t="s">
        <v>696</v>
      </c>
      <c r="E72" s="28" t="s">
        <v>697</v>
      </c>
    </row>
    <row r="73" spans="1:5" ht="12.75">
      <c r="A73" s="27" t="s">
        <v>234</v>
      </c>
      <c r="B73" s="1" t="s">
        <v>56</v>
      </c>
      <c r="C73" s="1" t="s">
        <v>209</v>
      </c>
      <c r="D73" s="1" t="s">
        <v>698</v>
      </c>
      <c r="E73" s="28" t="s">
        <v>699</v>
      </c>
    </row>
    <row r="75" spans="1:2" ht="14.25">
      <c r="A75" s="24"/>
      <c r="B75" s="25" t="s">
        <v>72</v>
      </c>
    </row>
    <row r="76" spans="1:5" ht="15">
      <c r="A76" s="26" t="s">
        <v>57</v>
      </c>
      <c r="B76" s="26" t="s">
        <v>58</v>
      </c>
      <c r="C76" s="26" t="s">
        <v>59</v>
      </c>
      <c r="D76" s="26" t="s">
        <v>60</v>
      </c>
      <c r="E76" s="26" t="s">
        <v>106</v>
      </c>
    </row>
    <row r="77" spans="1:5" ht="12.75">
      <c r="A77" s="27" t="s">
        <v>700</v>
      </c>
      <c r="B77" s="1" t="s">
        <v>522</v>
      </c>
      <c r="C77" s="1" t="s">
        <v>109</v>
      </c>
      <c r="D77" s="1" t="s">
        <v>701</v>
      </c>
      <c r="E77" s="28" t="s">
        <v>702</v>
      </c>
    </row>
  </sheetData>
  <sheetProtection selectLockedCells="1" selectUnlockedCells="1"/>
  <mergeCells count="21">
    <mergeCell ref="O3:R3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A14:T14"/>
    <mergeCell ref="A20:T20"/>
    <mergeCell ref="A26:T26"/>
    <mergeCell ref="A29:T29"/>
    <mergeCell ref="A32:T32"/>
    <mergeCell ref="S3:S4"/>
    <mergeCell ref="T3:T4"/>
    <mergeCell ref="F3:F4"/>
    <mergeCell ref="G3:J3"/>
    <mergeCell ref="K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703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5" t="s">
        <v>7</v>
      </c>
      <c r="L3" s="45"/>
      <c r="M3" s="45"/>
      <c r="N3" s="45"/>
      <c r="O3" s="45" t="s">
        <v>8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704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5" t="s">
        <v>7</v>
      </c>
      <c r="L3" s="45"/>
      <c r="M3" s="45"/>
      <c r="N3" s="45"/>
      <c r="O3" s="45" t="s">
        <v>8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D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7" width="5.625" style="3" customWidth="1"/>
    <col min="18" max="18" width="4.875" style="3" customWidth="1"/>
    <col min="19" max="19" width="7.875" style="1" customWidth="1"/>
    <col min="20" max="20" width="8.625" style="3" customWidth="1"/>
    <col min="21" max="21" width="13.625" style="1" customWidth="1"/>
    <col min="22" max="16384" width="9.125" style="3" customWidth="1"/>
  </cols>
  <sheetData>
    <row r="1" spans="1:21" s="5" customFormat="1" ht="28.5" customHeight="1">
      <c r="A1" s="46" t="s">
        <v>705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 t="s">
        <v>93</v>
      </c>
      <c r="E3" s="44" t="s">
        <v>4</v>
      </c>
      <c r="F3" s="44" t="s">
        <v>5</v>
      </c>
      <c r="G3" s="45" t="s">
        <v>219</v>
      </c>
      <c r="H3" s="45"/>
      <c r="I3" s="45"/>
      <c r="J3" s="45"/>
      <c r="K3" s="45" t="s">
        <v>185</v>
      </c>
      <c r="L3" s="45"/>
      <c r="M3" s="45"/>
      <c r="N3" s="45"/>
      <c r="O3" s="45" t="s">
        <v>186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5" spans="1:20" ht="15">
      <c r="A5" s="47" t="s">
        <v>198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29" t="s">
        <v>706</v>
      </c>
      <c r="B6" s="29" t="s">
        <v>707</v>
      </c>
      <c r="C6" s="29" t="s">
        <v>708</v>
      </c>
      <c r="D6" s="29" t="str">
        <f>"0,5540"</f>
        <v>0,5540</v>
      </c>
      <c r="E6" s="29" t="s">
        <v>709</v>
      </c>
      <c r="F6" s="29" t="s">
        <v>710</v>
      </c>
      <c r="G6" s="30" t="s">
        <v>711</v>
      </c>
      <c r="H6" s="30" t="s">
        <v>712</v>
      </c>
      <c r="I6" s="30" t="s">
        <v>713</v>
      </c>
      <c r="J6" s="32"/>
      <c r="K6" s="30" t="s">
        <v>333</v>
      </c>
      <c r="L6" s="30" t="s">
        <v>334</v>
      </c>
      <c r="M6" s="30" t="s">
        <v>714</v>
      </c>
      <c r="N6" s="32"/>
      <c r="O6" s="30" t="s">
        <v>715</v>
      </c>
      <c r="P6" s="32" t="s">
        <v>714</v>
      </c>
      <c r="Q6" s="30" t="s">
        <v>714</v>
      </c>
      <c r="R6" s="32"/>
      <c r="S6" s="29" t="str">
        <f>"960,0"</f>
        <v>960,0</v>
      </c>
      <c r="T6" s="30" t="str">
        <f>"531,8400"</f>
        <v>531,8400</v>
      </c>
      <c r="U6" s="29" t="s">
        <v>716</v>
      </c>
    </row>
    <row r="8" ht="15">
      <c r="E8" s="12" t="s">
        <v>24</v>
      </c>
    </row>
    <row r="9" ht="15">
      <c r="E9" s="12" t="s">
        <v>25</v>
      </c>
    </row>
    <row r="10" ht="15">
      <c r="E10" s="12" t="s">
        <v>26</v>
      </c>
    </row>
    <row r="11" ht="15">
      <c r="E11" s="12" t="s">
        <v>27</v>
      </c>
    </row>
    <row r="12" ht="15">
      <c r="E12" s="12" t="s">
        <v>27</v>
      </c>
    </row>
    <row r="13" ht="15">
      <c r="E13" s="12" t="s">
        <v>28</v>
      </c>
    </row>
    <row r="14" ht="15">
      <c r="E14" s="12"/>
    </row>
    <row r="16" spans="1:2" ht="18">
      <c r="A16" s="13" t="s">
        <v>29</v>
      </c>
      <c r="B16" s="13"/>
    </row>
    <row r="17" spans="1:2" ht="15">
      <c r="A17" s="23" t="s">
        <v>55</v>
      </c>
      <c r="B17" s="23"/>
    </row>
    <row r="18" spans="1:2" ht="14.25">
      <c r="A18" s="24"/>
      <c r="B18" s="25" t="s">
        <v>56</v>
      </c>
    </row>
    <row r="19" spans="1:5" ht="15">
      <c r="A19" s="26" t="s">
        <v>57</v>
      </c>
      <c r="B19" s="26" t="s">
        <v>58</v>
      </c>
      <c r="C19" s="26" t="s">
        <v>59</v>
      </c>
      <c r="D19" s="26" t="s">
        <v>60</v>
      </c>
      <c r="E19" s="26" t="s">
        <v>106</v>
      </c>
    </row>
    <row r="20" spans="1:5" ht="12.75">
      <c r="A20" s="27" t="s">
        <v>717</v>
      </c>
      <c r="B20" s="1" t="s">
        <v>56</v>
      </c>
      <c r="C20" s="1" t="s">
        <v>209</v>
      </c>
      <c r="D20" s="1" t="s">
        <v>718</v>
      </c>
      <c r="E20" s="28" t="s">
        <v>719</v>
      </c>
    </row>
  </sheetData>
  <sheetProtection selectLockedCells="1" selectUnlockedCells="1"/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9" sqref="G9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33.375" style="1" customWidth="1"/>
    <col min="7" max="7" width="5.875" style="3" customWidth="1"/>
    <col min="8" max="8" width="4.625" style="8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 t="s">
        <v>34</v>
      </c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5" spans="1:10" ht="15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14" t="s">
        <v>36</v>
      </c>
      <c r="B6" s="14" t="s">
        <v>37</v>
      </c>
      <c r="C6" s="14" t="s">
        <v>38</v>
      </c>
      <c r="D6" s="14" t="str">
        <f>"1,0000"</f>
        <v>1,0000</v>
      </c>
      <c r="E6" s="14" t="s">
        <v>39</v>
      </c>
      <c r="F6" s="14" t="s">
        <v>40</v>
      </c>
      <c r="G6" s="15" t="s">
        <v>41</v>
      </c>
      <c r="H6" s="16" t="s">
        <v>42</v>
      </c>
      <c r="I6" s="14" t="str">
        <f>"3630,0"</f>
        <v>3630,0</v>
      </c>
      <c r="J6" s="15" t="str">
        <f>"40,3333"</f>
        <v>40,3333</v>
      </c>
      <c r="K6" s="14" t="s">
        <v>43</v>
      </c>
    </row>
    <row r="7" spans="1:11" ht="12.75">
      <c r="A7" s="17" t="s">
        <v>44</v>
      </c>
      <c r="B7" s="17" t="s">
        <v>45</v>
      </c>
      <c r="C7" s="17" t="s">
        <v>46</v>
      </c>
      <c r="D7" s="17" t="str">
        <f>"1,0000"</f>
        <v>1,0000</v>
      </c>
      <c r="E7" s="17" t="s">
        <v>39</v>
      </c>
      <c r="F7" s="17" t="s">
        <v>47</v>
      </c>
      <c r="G7" s="18" t="s">
        <v>41</v>
      </c>
      <c r="H7" s="19" t="s">
        <v>48</v>
      </c>
      <c r="I7" s="17" t="str">
        <f>"2695,0"</f>
        <v>2695,0</v>
      </c>
      <c r="J7" s="18" t="str">
        <f>"31,2645"</f>
        <v>31,2645</v>
      </c>
      <c r="K7" s="17" t="s">
        <v>43</v>
      </c>
    </row>
    <row r="8" spans="1:11" ht="12.75">
      <c r="A8" s="17" t="s">
        <v>49</v>
      </c>
      <c r="B8" s="17" t="s">
        <v>50</v>
      </c>
      <c r="C8" s="17" t="s">
        <v>51</v>
      </c>
      <c r="D8" s="17" t="str">
        <f>"1,0000"</f>
        <v>1,0000</v>
      </c>
      <c r="E8" s="17" t="s">
        <v>39</v>
      </c>
      <c r="F8" s="17" t="s">
        <v>52</v>
      </c>
      <c r="G8" s="18" t="s">
        <v>41</v>
      </c>
      <c r="H8" s="19" t="s">
        <v>53</v>
      </c>
      <c r="I8" s="17" t="str">
        <f>"2255,0"</f>
        <v>2255,0</v>
      </c>
      <c r="J8" s="18" t="str">
        <f>"32,9197"</f>
        <v>32,9197</v>
      </c>
      <c r="K8" s="17" t="s">
        <v>43</v>
      </c>
    </row>
    <row r="9" spans="1:11" ht="12.75">
      <c r="A9" s="20" t="s">
        <v>36</v>
      </c>
      <c r="B9" s="20" t="s">
        <v>54</v>
      </c>
      <c r="C9" s="20" t="s">
        <v>38</v>
      </c>
      <c r="D9" s="20" t="str">
        <f>"1,0000"</f>
        <v>1,0000</v>
      </c>
      <c r="E9" s="20" t="s">
        <v>39</v>
      </c>
      <c r="F9" s="20" t="s">
        <v>40</v>
      </c>
      <c r="G9" s="21" t="s">
        <v>41</v>
      </c>
      <c r="H9" s="22" t="s">
        <v>42</v>
      </c>
      <c r="I9" s="20" t="str">
        <f>"3630,0"</f>
        <v>3630,0</v>
      </c>
      <c r="J9" s="21" t="str">
        <f>"40,3333"</f>
        <v>40,3333</v>
      </c>
      <c r="K9" s="20" t="s">
        <v>43</v>
      </c>
    </row>
    <row r="11" ht="15">
      <c r="E11" s="12" t="s">
        <v>24</v>
      </c>
    </row>
    <row r="12" ht="15">
      <c r="E12" s="12" t="s">
        <v>25</v>
      </c>
    </row>
    <row r="13" ht="15">
      <c r="E13" s="12" t="s">
        <v>26</v>
      </c>
    </row>
    <row r="14" ht="15">
      <c r="E14" s="12" t="s">
        <v>27</v>
      </c>
    </row>
    <row r="15" ht="15">
      <c r="E15" s="12" t="s">
        <v>27</v>
      </c>
    </row>
    <row r="16" ht="15">
      <c r="E16" s="12" t="s">
        <v>28</v>
      </c>
    </row>
    <row r="17" ht="15">
      <c r="E17" s="12"/>
    </row>
    <row r="19" spans="1:2" ht="18">
      <c r="A19" s="13" t="s">
        <v>29</v>
      </c>
      <c r="B19" s="13"/>
    </row>
    <row r="20" spans="1:2" ht="15">
      <c r="A20" s="23" t="s">
        <v>55</v>
      </c>
      <c r="B20" s="23"/>
    </row>
    <row r="21" spans="1:2" ht="14.25">
      <c r="A21" s="24"/>
      <c r="B21" s="25" t="s">
        <v>56</v>
      </c>
    </row>
    <row r="22" spans="1:5" ht="15">
      <c r="A22" s="26" t="s">
        <v>57</v>
      </c>
      <c r="B22" s="26" t="s">
        <v>58</v>
      </c>
      <c r="C22" s="26" t="s">
        <v>59</v>
      </c>
      <c r="D22" s="26" t="s">
        <v>60</v>
      </c>
      <c r="E22" s="26" t="s">
        <v>61</v>
      </c>
    </row>
    <row r="23" spans="1:5" ht="12.75">
      <c r="A23" s="27" t="s">
        <v>62</v>
      </c>
      <c r="B23" s="1" t="s">
        <v>56</v>
      </c>
      <c r="C23" s="1" t="s">
        <v>63</v>
      </c>
      <c r="D23" s="1" t="s">
        <v>64</v>
      </c>
      <c r="E23" s="28" t="s">
        <v>65</v>
      </c>
    </row>
    <row r="24" spans="1:5" ht="12.75">
      <c r="A24" s="27" t="s">
        <v>66</v>
      </c>
      <c r="B24" s="1" t="s">
        <v>56</v>
      </c>
      <c r="C24" s="1" t="s">
        <v>63</v>
      </c>
      <c r="D24" s="1" t="s">
        <v>67</v>
      </c>
      <c r="E24" s="28" t="s">
        <v>68</v>
      </c>
    </row>
    <row r="25" spans="1:5" ht="12.75">
      <c r="A25" s="27" t="s">
        <v>69</v>
      </c>
      <c r="B25" s="1" t="s">
        <v>56</v>
      </c>
      <c r="C25" s="1" t="s">
        <v>63</v>
      </c>
      <c r="D25" s="1" t="s">
        <v>70</v>
      </c>
      <c r="E25" s="28" t="s">
        <v>71</v>
      </c>
    </row>
    <row r="27" spans="1:2" ht="14.25">
      <c r="A27" s="24"/>
      <c r="B27" s="25" t="s">
        <v>72</v>
      </c>
    </row>
    <row r="28" spans="1:5" ht="15">
      <c r="A28" s="26" t="s">
        <v>57</v>
      </c>
      <c r="B28" s="26" t="s">
        <v>58</v>
      </c>
      <c r="C28" s="26" t="s">
        <v>59</v>
      </c>
      <c r="D28" s="26" t="s">
        <v>60</v>
      </c>
      <c r="E28" s="26" t="s">
        <v>61</v>
      </c>
    </row>
    <row r="29" spans="1:5" ht="12.75">
      <c r="A29" s="27" t="s">
        <v>62</v>
      </c>
      <c r="B29" s="1" t="s">
        <v>73</v>
      </c>
      <c r="C29" s="1" t="s">
        <v>63</v>
      </c>
      <c r="D29" s="1" t="s">
        <v>64</v>
      </c>
      <c r="E29" s="28" t="s">
        <v>65</v>
      </c>
    </row>
  </sheetData>
  <sheetProtection selectLockedCells="1" selectUnlockedCells="1"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6" t="s">
        <v>720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6</v>
      </c>
      <c r="H3" s="45"/>
      <c r="I3" s="45"/>
      <c r="J3" s="45"/>
      <c r="K3" s="45" t="s">
        <v>7</v>
      </c>
      <c r="L3" s="45"/>
      <c r="M3" s="45"/>
      <c r="N3" s="45"/>
      <c r="O3" s="45" t="s">
        <v>8</v>
      </c>
      <c r="P3" s="45"/>
      <c r="Q3" s="45"/>
      <c r="R3" s="45"/>
      <c r="S3" s="44" t="s">
        <v>9</v>
      </c>
      <c r="T3" s="44" t="s">
        <v>10</v>
      </c>
      <c r="U3" s="40" t="s">
        <v>11</v>
      </c>
    </row>
    <row r="4" spans="1:21" s="6" customFormat="1" ht="21" customHeight="1">
      <c r="A4" s="42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44"/>
      <c r="T4" s="44"/>
      <c r="U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19652777777777777" right="0.4722222222222222" top="0.43333333333333335" bottom="0.5118055555555555" header="0.5118055555555555" footer="0.5118055555555555"/>
  <pageSetup fitToHeight="100" fitToWidth="1" horizontalDpi="300" verticalDpi="300" orientation="landscape"/>
  <headerFooter alignWithMargins="0">
    <oddFooter>&amp;R&amp;D&amp;T&amp;P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8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61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2.75" customHeight="1">
      <c r="A3" s="42" t="s">
        <v>0</v>
      </c>
      <c r="B3" s="43" t="s">
        <v>1</v>
      </c>
      <c r="C3" s="43" t="s">
        <v>2</v>
      </c>
      <c r="D3" s="44"/>
      <c r="E3" s="44" t="s">
        <v>4</v>
      </c>
      <c r="F3" s="44" t="s">
        <v>5</v>
      </c>
      <c r="G3" s="45" t="s">
        <v>14</v>
      </c>
      <c r="H3" s="45"/>
      <c r="I3" s="44" t="s">
        <v>15</v>
      </c>
      <c r="J3" s="44" t="s">
        <v>10</v>
      </c>
      <c r="K3" s="40" t="s">
        <v>11</v>
      </c>
    </row>
    <row r="4" spans="1:11" s="6" customFormat="1" ht="21" customHeight="1">
      <c r="A4" s="42"/>
      <c r="B4" s="43"/>
      <c r="C4" s="43"/>
      <c r="D4" s="43"/>
      <c r="E4" s="43"/>
      <c r="F4" s="43"/>
      <c r="G4" s="7" t="s">
        <v>16</v>
      </c>
      <c r="H4" s="9" t="s">
        <v>17</v>
      </c>
      <c r="I4" s="44"/>
      <c r="J4" s="44"/>
      <c r="K4" s="40"/>
    </row>
    <row r="6" ht="15">
      <c r="E6" s="12" t="s">
        <v>24</v>
      </c>
    </row>
    <row r="7" ht="15">
      <c r="E7" s="12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27</v>
      </c>
    </row>
    <row r="11" ht="15">
      <c r="E11" s="12" t="s">
        <v>28</v>
      </c>
    </row>
    <row r="12" ht="15">
      <c r="E12" s="12"/>
    </row>
    <row r="14" spans="1:2" ht="18">
      <c r="A14" s="13" t="s">
        <v>29</v>
      </c>
      <c r="B14" s="13"/>
    </row>
  </sheetData>
  <sheetProtection selectLockedCells="1" selectUnlockedCells="1"/>
  <mergeCells count="11"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2019-04-17T08:00:59Z</dcterms:created>
  <dcterms:modified xsi:type="dcterms:W3CDTF">2019-04-17T08:01:01Z</dcterms:modified>
  <cp:category/>
  <cp:version/>
  <cp:contentType/>
  <cp:contentStatus/>
</cp:coreProperties>
</file>